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05" windowWidth="15480" windowHeight="9270" firstSheet="7" activeTab="8"/>
  </bookViews>
  <sheets>
    <sheet name="департ.соцзащита 2016" sheetId="3" state="hidden" r:id="rId1"/>
    <sheet name="департ.соцзащита 2017" sheetId="4" state="hidden" r:id="rId2"/>
    <sheet name="департ.соцзащ2017 (I полугодие)" sheetId="5" state="hidden" r:id="rId3"/>
    <sheet name="департ.соцзащ2017 (год)" sheetId="6" state="hidden" r:id="rId4"/>
    <sheet name="министерст.соцзащ 1 кв 2018" sheetId="7" state="hidden" r:id="rId5"/>
    <sheet name="министерст.соцзащ 1полугод 2018" sheetId="8" state="hidden" r:id="rId6"/>
    <sheet name="министерст.соцзащ 1-3 кварталы" sheetId="9" state="hidden" r:id="rId7"/>
    <sheet name="исполнение за I квартал 2019" sheetId="11" r:id="rId8"/>
    <sheet name="минист.соцзащиты 2019" sheetId="13" r:id="rId9"/>
  </sheets>
  <definedNames>
    <definedName name="_xlnm.Print_Titles" localSheetId="2">'департ.соцзащ2017 (I полугодие)'!$2:$2</definedName>
    <definedName name="_xlnm.Print_Titles" localSheetId="3">'департ.соцзащ2017 (год)'!$2:$2</definedName>
    <definedName name="_xlnm.Print_Titles" localSheetId="0">'департ.соцзащита 2016'!$2:$2</definedName>
    <definedName name="_xlnm.Print_Titles" localSheetId="1">'департ.соцзащита 2017'!$2:$2</definedName>
    <definedName name="_xlnm.Print_Titles" localSheetId="8">'минист.соцзащиты 2019'!$2:$2</definedName>
    <definedName name="_xlnm.Print_Titles" localSheetId="4">'министерст.соцзащ 1 кв 2018'!$2:$2</definedName>
    <definedName name="_xlnm.Print_Titles" localSheetId="6">'министерст.соцзащ 1-3 кварталы'!$2:$2</definedName>
    <definedName name="_xlnm.Print_Titles" localSheetId="5">'министерст.соцзащ 1полугод 2018'!$2:$2</definedName>
    <definedName name="_xlnm.Print_Area" localSheetId="2">'департ.соцзащ2017 (I полугодие)'!$A$1:$I$63</definedName>
    <definedName name="_xlnm.Print_Area" localSheetId="3">'департ.соцзащ2017 (год)'!$A$1:$I$97</definedName>
    <definedName name="_xlnm.Print_Area" localSheetId="0">'департ.соцзащита 2016'!$A$1:$F$62</definedName>
    <definedName name="_xlnm.Print_Area" localSheetId="1">'департ.соцзащита 2017'!$A$1:$I$63</definedName>
    <definedName name="_xlnm.Print_Area" localSheetId="8">'минист.соцзащиты 2019'!$A$1:$H$224</definedName>
    <definedName name="_xlnm.Print_Area" localSheetId="4">'министерст.соцзащ 1 кв 2018'!$A$1:$I$93</definedName>
    <definedName name="_xlnm.Print_Area" localSheetId="6">'министерст.соцзащ 1-3 кварталы'!$A$1:$I$93</definedName>
    <definedName name="_xlnm.Print_Area" localSheetId="5">'министерст.соцзащ 1полугод 2018'!$A$1:$I$93</definedName>
  </definedNames>
  <calcPr calcId="125725"/>
</workbook>
</file>

<file path=xl/calcChain.xml><?xml version="1.0" encoding="utf-8"?>
<calcChain xmlns="http://schemas.openxmlformats.org/spreadsheetml/2006/main">
  <c r="F11" i="11"/>
  <c r="G7"/>
  <c r="G8"/>
  <c r="F8"/>
  <c r="F7"/>
  <c r="F10"/>
  <c r="H10" s="1"/>
  <c r="G11"/>
  <c r="J11"/>
  <c r="I11"/>
  <c r="K10"/>
  <c r="P11"/>
  <c r="O11"/>
  <c r="F32" i="13"/>
  <c r="G218"/>
  <c r="G219"/>
  <c r="E215"/>
  <c r="F215"/>
  <c r="G215" s="1"/>
  <c r="E216"/>
  <c r="F216"/>
  <c r="G216" s="1"/>
  <c r="D216"/>
  <c r="D215"/>
  <c r="F217"/>
  <c r="G217" s="1"/>
  <c r="E217"/>
  <c r="D217"/>
  <c r="F214" l="1"/>
  <c r="G214" s="1"/>
  <c r="E214"/>
  <c r="D214"/>
  <c r="D178"/>
  <c r="D207"/>
  <c r="D196"/>
  <c r="E196"/>
  <c r="E192"/>
  <c r="F192"/>
  <c r="D192"/>
  <c r="E190"/>
  <c r="D190"/>
  <c r="F190"/>
  <c r="E188"/>
  <c r="F188"/>
  <c r="D188"/>
  <c r="G189"/>
  <c r="E182"/>
  <c r="D182"/>
  <c r="F182"/>
  <c r="F180"/>
  <c r="E180"/>
  <c r="E177" s="1"/>
  <c r="D180"/>
  <c r="D177" s="1"/>
  <c r="D176" s="1"/>
  <c r="F154"/>
  <c r="E158"/>
  <c r="D158"/>
  <c r="F171"/>
  <c r="D171"/>
  <c r="E171"/>
  <c r="E136"/>
  <c r="D136"/>
  <c r="D124"/>
  <c r="E124"/>
  <c r="F105"/>
  <c r="E105"/>
  <c r="D105"/>
  <c r="F102"/>
  <c r="E102"/>
  <c r="D102"/>
  <c r="E100"/>
  <c r="D100"/>
  <c r="F100"/>
  <c r="F104"/>
  <c r="E104"/>
  <c r="D104"/>
  <c r="F98"/>
  <c r="E98"/>
  <c r="D98"/>
  <c r="F96"/>
  <c r="E96"/>
  <c r="D96"/>
  <c r="F94"/>
  <c r="E94"/>
  <c r="D94"/>
  <c r="D62" s="1"/>
  <c r="E86"/>
  <c r="G82"/>
  <c r="E77"/>
  <c r="E63" s="1"/>
  <c r="E78"/>
  <c r="F77"/>
  <c r="D77"/>
  <c r="D63" s="1"/>
  <c r="F75"/>
  <c r="F63" s="1"/>
  <c r="F69"/>
  <c r="E69"/>
  <c r="E62" s="1"/>
  <c r="F64"/>
  <c r="F62" s="1"/>
  <c r="G180"/>
  <c r="G182"/>
  <c r="G184"/>
  <c r="G195"/>
  <c r="G81"/>
  <c r="G88"/>
  <c r="G89"/>
  <c r="G90"/>
  <c r="G92"/>
  <c r="G94"/>
  <c r="G95"/>
  <c r="G96"/>
  <c r="G97"/>
  <c r="G98"/>
  <c r="G100"/>
  <c r="G101"/>
  <c r="G102"/>
  <c r="G103"/>
  <c r="G104"/>
  <c r="G105"/>
  <c r="G107"/>
  <c r="G109"/>
  <c r="G172"/>
  <c r="G173"/>
  <c r="G174"/>
  <c r="G56"/>
  <c r="E42"/>
  <c r="F42"/>
  <c r="D42"/>
  <c r="E38"/>
  <c r="D38"/>
  <c r="F39"/>
  <c r="F38" s="1"/>
  <c r="G41"/>
  <c r="G43"/>
  <c r="G44"/>
  <c r="G45"/>
  <c r="G49"/>
  <c r="G55"/>
  <c r="G35"/>
  <c r="G36"/>
  <c r="E34"/>
  <c r="F34"/>
  <c r="D34"/>
  <c r="G16"/>
  <c r="G17"/>
  <c r="G10"/>
  <c r="G11"/>
  <c r="G12"/>
  <c r="G13"/>
  <c r="F61" l="1"/>
  <c r="E61"/>
  <c r="D37"/>
  <c r="G34"/>
  <c r="F25"/>
  <c r="F14"/>
  <c r="G15"/>
  <c r="E14"/>
  <c r="D14"/>
  <c r="G14" l="1"/>
  <c r="F7"/>
  <c r="G7" s="1"/>
  <c r="F5"/>
  <c r="E5"/>
  <c r="D5"/>
  <c r="F37"/>
  <c r="E210"/>
  <c r="D210"/>
  <c r="F209"/>
  <c r="G208"/>
  <c r="E207"/>
  <c r="G206"/>
  <c r="G205"/>
  <c r="G204"/>
  <c r="G203"/>
  <c r="G202"/>
  <c r="G201"/>
  <c r="G200"/>
  <c r="E198"/>
  <c r="D198"/>
  <c r="F196"/>
  <c r="G191"/>
  <c r="G190"/>
  <c r="G187"/>
  <c r="G186"/>
  <c r="G185"/>
  <c r="G183"/>
  <c r="G181"/>
  <c r="G179"/>
  <c r="E178"/>
  <c r="E176" s="1"/>
  <c r="G175"/>
  <c r="G171"/>
  <c r="F170"/>
  <c r="G170" s="1"/>
  <c r="F169"/>
  <c r="G169" s="1"/>
  <c r="G168"/>
  <c r="F167"/>
  <c r="G167" s="1"/>
  <c r="F166"/>
  <c r="G166" s="1"/>
  <c r="F165"/>
  <c r="G165" s="1"/>
  <c r="F164"/>
  <c r="G164" s="1"/>
  <c r="G163"/>
  <c r="G162"/>
  <c r="E161"/>
  <c r="D161"/>
  <c r="G160"/>
  <c r="G159"/>
  <c r="G158"/>
  <c r="G157"/>
  <c r="G156"/>
  <c r="E155"/>
  <c r="D155"/>
  <c r="G154"/>
  <c r="G153"/>
  <c r="G152"/>
  <c r="G151"/>
  <c r="F150"/>
  <c r="E150"/>
  <c r="D150"/>
  <c r="E149"/>
  <c r="D149"/>
  <c r="D148" s="1"/>
  <c r="G147"/>
  <c r="G146"/>
  <c r="E145"/>
  <c r="D145"/>
  <c r="G144"/>
  <c r="G143"/>
  <c r="E142"/>
  <c r="D142"/>
  <c r="G141"/>
  <c r="G140"/>
  <c r="E139"/>
  <c r="D139"/>
  <c r="G138"/>
  <c r="F135"/>
  <c r="G135" s="1"/>
  <c r="G134"/>
  <c r="F133"/>
  <c r="G133" s="1"/>
  <c r="G132"/>
  <c r="F131"/>
  <c r="G131" s="1"/>
  <c r="G129"/>
  <c r="G128"/>
  <c r="E127"/>
  <c r="D127"/>
  <c r="G125"/>
  <c r="F123"/>
  <c r="G123" s="1"/>
  <c r="F122"/>
  <c r="E121"/>
  <c r="D121"/>
  <c r="F120"/>
  <c r="G120" s="1"/>
  <c r="F119"/>
  <c r="G119" s="1"/>
  <c r="G118"/>
  <c r="G117"/>
  <c r="E116"/>
  <c r="D116"/>
  <c r="G115"/>
  <c r="G114"/>
  <c r="E113"/>
  <c r="D113"/>
  <c r="E112"/>
  <c r="E59" s="1"/>
  <c r="D112"/>
  <c r="D59" s="1"/>
  <c r="E111"/>
  <c r="D111"/>
  <c r="D58" s="1"/>
  <c r="G108"/>
  <c r="G106"/>
  <c r="G99"/>
  <c r="G93"/>
  <c r="G91"/>
  <c r="D86"/>
  <c r="G85"/>
  <c r="G84"/>
  <c r="G83"/>
  <c r="G80"/>
  <c r="G77"/>
  <c r="E76"/>
  <c r="G75"/>
  <c r="E74"/>
  <c r="D74"/>
  <c r="G73"/>
  <c r="G72"/>
  <c r="G71"/>
  <c r="E70"/>
  <c r="G69"/>
  <c r="G68"/>
  <c r="G67"/>
  <c r="E66"/>
  <c r="D66"/>
  <c r="G64"/>
  <c r="G209" l="1"/>
  <c r="F177"/>
  <c r="E110"/>
  <c r="E58"/>
  <c r="G194"/>
  <c r="G193"/>
  <c r="G150"/>
  <c r="G137"/>
  <c r="F136"/>
  <c r="G136" s="1"/>
  <c r="F198"/>
  <c r="G198" s="1"/>
  <c r="G199"/>
  <c r="F121"/>
  <c r="G121" s="1"/>
  <c r="G122"/>
  <c r="G196"/>
  <c r="G197"/>
  <c r="F210"/>
  <c r="G210" s="1"/>
  <c r="G211"/>
  <c r="F124"/>
  <c r="G124" s="1"/>
  <c r="G126"/>
  <c r="F113"/>
  <c r="G113" s="1"/>
  <c r="F112"/>
  <c r="F86"/>
  <c r="G86" s="1"/>
  <c r="G87"/>
  <c r="F78"/>
  <c r="G78" s="1"/>
  <c r="G79"/>
  <c r="F74"/>
  <c r="G74" s="1"/>
  <c r="F116"/>
  <c r="G116" s="1"/>
  <c r="E148"/>
  <c r="F155"/>
  <c r="G155" s="1"/>
  <c r="F161"/>
  <c r="G161" s="1"/>
  <c r="E37"/>
  <c r="G188"/>
  <c r="G192"/>
  <c r="G39"/>
  <c r="G50"/>
  <c r="G51"/>
  <c r="G52"/>
  <c r="G54"/>
  <c r="G53"/>
  <c r="G40"/>
  <c r="G46"/>
  <c r="G47"/>
  <c r="G48"/>
  <c r="G42"/>
  <c r="F66"/>
  <c r="G66" s="1"/>
  <c r="F127"/>
  <c r="G127" s="1"/>
  <c r="F130"/>
  <c r="G130" s="1"/>
  <c r="F139"/>
  <c r="G139" s="1"/>
  <c r="D110"/>
  <c r="F142"/>
  <c r="G142" s="1"/>
  <c r="D70"/>
  <c r="D76"/>
  <c r="F145"/>
  <c r="G145" s="1"/>
  <c r="F207"/>
  <c r="G207" s="1"/>
  <c r="F178"/>
  <c r="G178" s="1"/>
  <c r="F70"/>
  <c r="G70" s="1"/>
  <c r="D78"/>
  <c r="F149"/>
  <c r="F111"/>
  <c r="F76"/>
  <c r="G76" s="1"/>
  <c r="F58" l="1"/>
  <c r="F176"/>
  <c r="G112"/>
  <c r="F59"/>
  <c r="G176"/>
  <c r="G177"/>
  <c r="F148"/>
  <c r="G148" s="1"/>
  <c r="G149"/>
  <c r="F110"/>
  <c r="G110" s="1"/>
  <c r="G111"/>
  <c r="G62"/>
  <c r="G59"/>
  <c r="G63"/>
  <c r="D57"/>
  <c r="D28" s="1"/>
  <c r="E57"/>
  <c r="E28" s="1"/>
  <c r="G38"/>
  <c r="D61"/>
  <c r="G61" l="1"/>
  <c r="F57"/>
  <c r="G58"/>
  <c r="G37"/>
  <c r="D24"/>
  <c r="D18"/>
  <c r="D8"/>
  <c r="D4"/>
  <c r="G213"/>
  <c r="G212"/>
  <c r="G33"/>
  <c r="G32"/>
  <c r="G31"/>
  <c r="G30"/>
  <c r="G27"/>
  <c r="G26"/>
  <c r="G25"/>
  <c r="F24"/>
  <c r="E24"/>
  <c r="G21"/>
  <c r="G20"/>
  <c r="G19"/>
  <c r="F18"/>
  <c r="E18"/>
  <c r="G9"/>
  <c r="E8"/>
  <c r="G5"/>
  <c r="E4"/>
  <c r="D10" i="11"/>
  <c r="C10"/>
  <c r="D11"/>
  <c r="E10" l="1"/>
  <c r="D224" i="13"/>
  <c r="E224"/>
  <c r="G57"/>
  <c r="F28"/>
  <c r="F4"/>
  <c r="F8"/>
  <c r="G8" s="1"/>
  <c r="G18"/>
  <c r="G24"/>
  <c r="G4" l="1"/>
  <c r="F224"/>
  <c r="G28"/>
  <c r="G224"/>
  <c r="L12" i="11" l="1"/>
  <c r="Q11" l="1"/>
  <c r="N11"/>
  <c r="K11"/>
  <c r="H11"/>
  <c r="C11"/>
  <c r="N8"/>
  <c r="H8"/>
  <c r="D8"/>
  <c r="C8"/>
  <c r="R7"/>
  <c r="K7"/>
  <c r="H7"/>
  <c r="D7"/>
  <c r="C7"/>
  <c r="P6"/>
  <c r="P12" s="1"/>
  <c r="Q12" s="1"/>
  <c r="O6"/>
  <c r="O12" s="1"/>
  <c r="M6"/>
  <c r="M12" s="1"/>
  <c r="N12" s="1"/>
  <c r="L6"/>
  <c r="J6"/>
  <c r="J12" s="1"/>
  <c r="I6"/>
  <c r="I12" s="1"/>
  <c r="G6"/>
  <c r="G12" s="1"/>
  <c r="F6"/>
  <c r="F12" s="1"/>
  <c r="E8" l="1"/>
  <c r="E7"/>
  <c r="K12"/>
  <c r="K6"/>
  <c r="N6"/>
  <c r="H12"/>
  <c r="E11"/>
  <c r="H6"/>
  <c r="C6"/>
  <c r="C12" s="1"/>
  <c r="G93" i="9" l="1"/>
  <c r="F93"/>
  <c r="E93" s="1"/>
  <c r="D93"/>
  <c r="G92"/>
  <c r="G91"/>
  <c r="G90"/>
  <c r="G89"/>
  <c r="G88"/>
  <c r="G87"/>
  <c r="G86"/>
  <c r="G85"/>
  <c r="G84"/>
  <c r="G83"/>
  <c r="G82" s="1"/>
  <c r="E82"/>
  <c r="G81"/>
  <c r="G80"/>
  <c r="G79"/>
  <c r="G78"/>
  <c r="G77"/>
  <c r="G76"/>
  <c r="G75"/>
  <c r="G74"/>
  <c r="G73"/>
  <c r="G72" s="1"/>
  <c r="E72"/>
  <c r="D72"/>
  <c r="G71"/>
  <c r="G69"/>
  <c r="G68" s="1"/>
  <c r="F68"/>
  <c r="E68"/>
  <c r="D68"/>
  <c r="G67"/>
  <c r="G66"/>
  <c r="G65"/>
  <c r="G64"/>
  <c r="G63"/>
  <c r="G62"/>
  <c r="G61"/>
  <c r="F61"/>
  <c r="E61"/>
  <c r="G60"/>
  <c r="G59"/>
  <c r="G58"/>
  <c r="G57"/>
  <c r="G56"/>
  <c r="G55"/>
  <c r="G54"/>
  <c r="G53"/>
  <c r="F53"/>
  <c r="E53"/>
  <c r="D53"/>
  <c r="G52"/>
  <c r="G51"/>
  <c r="G50"/>
  <c r="G49"/>
  <c r="G48"/>
  <c r="G47"/>
  <c r="G46"/>
  <c r="G45"/>
  <c r="G44"/>
  <c r="G43"/>
  <c r="G42" s="1"/>
  <c r="F42"/>
  <c r="E42"/>
  <c r="D42"/>
  <c r="G41"/>
  <c r="G40"/>
  <c r="G39"/>
  <c r="G38"/>
  <c r="G37"/>
  <c r="G36"/>
  <c r="G35"/>
  <c r="G34"/>
  <c r="G33"/>
  <c r="G32"/>
  <c r="G31"/>
  <c r="E31"/>
  <c r="D31"/>
  <c r="G30"/>
  <c r="G29"/>
  <c r="G28"/>
  <c r="G27" s="1"/>
  <c r="F27"/>
  <c r="E27"/>
  <c r="D27"/>
  <c r="G26"/>
  <c r="G25" s="1"/>
  <c r="F25"/>
  <c r="E25"/>
  <c r="D25"/>
  <c r="G24" s="1"/>
  <c r="E24"/>
  <c r="D24"/>
  <c r="G23"/>
  <c r="G22"/>
  <c r="G20"/>
  <c r="F20"/>
  <c r="E20"/>
  <c r="D20" s="1"/>
  <c r="G19"/>
  <c r="G17" s="1"/>
  <c r="F17"/>
  <c r="G16" s="1"/>
  <c r="E16"/>
  <c r="G15" s="1"/>
  <c r="E15"/>
  <c r="G14" s="1"/>
  <c r="F14"/>
  <c r="E14"/>
  <c r="D14"/>
  <c r="G13"/>
  <c r="G12"/>
  <c r="E12"/>
  <c r="D12"/>
  <c r="G11"/>
  <c r="G10"/>
  <c r="G9"/>
  <c r="G8"/>
  <c r="F8"/>
  <c r="E8" l="1"/>
  <c r="D8"/>
  <c r="G7" s="1"/>
  <c r="F7"/>
  <c r="E7"/>
  <c r="G6" s="1"/>
  <c r="E6"/>
  <c r="G5" s="1"/>
  <c r="E5"/>
  <c r="G4"/>
  <c r="F4"/>
  <c r="E4"/>
  <c r="D4"/>
  <c r="H93" i="8" s="1"/>
  <c r="G93" s="1"/>
  <c r="F93" s="1"/>
  <c r="E93"/>
  <c r="D93"/>
  <c r="H92"/>
  <c r="G82"/>
  <c r="E74"/>
  <c r="D74"/>
  <c r="D73"/>
  <c r="G72"/>
  <c r="F72"/>
  <c r="E72"/>
  <c r="D72"/>
  <c r="H69"/>
  <c r="H68"/>
  <c r="G68"/>
  <c r="F68"/>
  <c r="E68"/>
  <c r="D68"/>
  <c r="E67"/>
  <c r="D67"/>
  <c r="H61"/>
  <c r="G61"/>
  <c r="H56"/>
  <c r="H53"/>
  <c r="G53"/>
  <c r="F53"/>
  <c r="E53"/>
  <c r="D53" s="1"/>
  <c r="H42"/>
  <c r="G42"/>
  <c r="F42"/>
  <c r="H32"/>
  <c r="H31"/>
  <c r="G31"/>
  <c r="F31"/>
  <c r="E31"/>
  <c r="D31"/>
  <c r="E29"/>
  <c r="D29"/>
  <c r="H28"/>
  <c r="E28"/>
  <c r="D28"/>
  <c r="H27"/>
  <c r="G27"/>
  <c r="F27" s="1"/>
  <c r="H26"/>
  <c r="E26"/>
  <c r="G25"/>
  <c r="F25"/>
  <c r="E25"/>
  <c r="D25" s="1"/>
  <c r="H24"/>
  <c r="G24"/>
  <c r="F24"/>
  <c r="E24"/>
  <c r="D24"/>
  <c r="H20"/>
  <c r="G20" s="1"/>
  <c r="F20" s="1"/>
  <c r="E20"/>
  <c r="D20"/>
  <c r="G17"/>
  <c r="E17"/>
  <c r="D17" s="1"/>
  <c r="G16"/>
  <c r="D16"/>
  <c r="H15"/>
  <c r="G15"/>
  <c r="E15"/>
  <c r="D15"/>
  <c r="H14"/>
  <c r="G14"/>
  <c r="F14"/>
  <c r="E14" s="1"/>
  <c r="D14" s="1"/>
  <c r="E13"/>
  <c r="D13" s="1"/>
  <c r="G12"/>
  <c r="F12"/>
  <c r="E12"/>
  <c r="D12"/>
  <c r="E11"/>
  <c r="D11"/>
  <c r="E10"/>
  <c r="D10"/>
  <c r="H9"/>
  <c r="E9"/>
  <c r="D9"/>
  <c r="H8"/>
  <c r="G8" s="1"/>
  <c r="F8"/>
  <c r="E8" s="1"/>
  <c r="D8" s="1"/>
  <c r="H7"/>
  <c r="G7"/>
  <c r="E7" s="1"/>
  <c r="D7" s="1"/>
  <c r="G6"/>
  <c r="E6"/>
  <c r="D6"/>
  <c r="H5"/>
  <c r="G5"/>
  <c r="E5"/>
  <c r="D5"/>
  <c r="H4"/>
  <c r="G4"/>
  <c r="F4"/>
  <c r="E4"/>
  <c r="D4" s="1"/>
  <c r="H93" i="7" l="1"/>
  <c r="G93" s="1"/>
  <c r="F93" s="1"/>
  <c r="E93" s="1"/>
  <c r="D93"/>
  <c r="E74" l="1"/>
  <c r="D74"/>
  <c r="D73"/>
  <c r="H72"/>
  <c r="G72"/>
  <c r="F72"/>
  <c r="E72"/>
  <c r="D72"/>
  <c r="H69"/>
  <c r="H68"/>
  <c r="G68"/>
  <c r="F68"/>
  <c r="E68"/>
  <c r="D68"/>
  <c r="E67"/>
  <c r="D67"/>
  <c r="G61"/>
  <c r="H56"/>
  <c r="H53"/>
  <c r="G53"/>
  <c r="F53"/>
  <c r="E53"/>
  <c r="D53"/>
  <c r="H42"/>
  <c r="G42"/>
  <c r="F42"/>
  <c r="H32"/>
  <c r="H31"/>
  <c r="G31"/>
  <c r="F31"/>
  <c r="E31"/>
  <c r="D31"/>
  <c r="H29"/>
  <c r="E29"/>
  <c r="D29"/>
  <c r="H28"/>
  <c r="E28"/>
  <c r="D28"/>
  <c r="H27"/>
  <c r="G27"/>
  <c r="F27"/>
  <c r="E26"/>
  <c r="H25"/>
  <c r="G25"/>
  <c r="F25"/>
  <c r="E25"/>
  <c r="D25" s="1"/>
  <c r="H24"/>
  <c r="G24"/>
  <c r="F24"/>
  <c r="E24"/>
  <c r="D24"/>
  <c r="H20"/>
  <c r="G20"/>
  <c r="F20"/>
  <c r="E20"/>
  <c r="D20" s="1"/>
  <c r="H17"/>
  <c r="G17"/>
  <c r="E17"/>
  <c r="D17" s="1"/>
  <c r="H16"/>
  <c r="D16"/>
  <c r="H15"/>
  <c r="G15"/>
  <c r="E15"/>
  <c r="D15"/>
  <c r="H14"/>
  <c r="G14"/>
  <c r="F14"/>
  <c r="E14"/>
  <c r="D14" s="1"/>
  <c r="H13"/>
  <c r="E13" s="1"/>
  <c r="D13" l="1"/>
  <c r="G12" l="1"/>
  <c r="F12"/>
  <c r="E12"/>
  <c r="D12"/>
  <c r="E11"/>
  <c r="D11"/>
  <c r="E10"/>
  <c r="D10"/>
  <c r="E9"/>
  <c r="D9"/>
  <c r="H8"/>
  <c r="G8"/>
  <c r="F8"/>
  <c r="E8" s="1"/>
  <c r="D8" s="1"/>
  <c r="H7"/>
  <c r="G7"/>
  <c r="E7" s="1"/>
  <c r="D7" s="1"/>
  <c r="E6"/>
  <c r="D6"/>
  <c r="H5"/>
  <c r="E5"/>
  <c r="D5"/>
  <c r="H4"/>
  <c r="G4"/>
  <c r="F4"/>
  <c r="E4" s="1"/>
  <c r="D4" s="1"/>
  <c r="I97" i="6" s="1"/>
  <c r="H97" s="1"/>
  <c r="G97" s="1"/>
  <c r="F97" s="1"/>
  <c r="E97"/>
  <c r="D97"/>
  <c r="D85"/>
  <c r="E74"/>
  <c r="D74"/>
  <c r="D73"/>
  <c r="H72"/>
  <c r="G72"/>
  <c r="E72"/>
  <c r="D72"/>
  <c r="H69"/>
  <c r="H68"/>
  <c r="G68"/>
  <c r="F68"/>
  <c r="E68"/>
  <c r="D68"/>
  <c r="H67"/>
  <c r="G67"/>
  <c r="E67"/>
  <c r="D67"/>
  <c r="H66"/>
  <c r="G66"/>
  <c r="H61"/>
  <c r="H58"/>
  <c r="H56"/>
  <c r="H53" s="1"/>
  <c r="G53"/>
  <c r="F53"/>
  <c r="E53"/>
  <c r="D53"/>
  <c r="G47"/>
  <c r="G46"/>
  <c r="H45"/>
  <c r="G45"/>
  <c r="H44"/>
  <c r="G44"/>
  <c r="H43"/>
  <c r="G43"/>
  <c r="H42" s="1"/>
  <c r="G42" s="1"/>
  <c r="F42"/>
  <c r="H32"/>
  <c r="H31"/>
  <c r="E31"/>
  <c r="D31"/>
  <c r="E29"/>
  <c r="D29"/>
  <c r="H28"/>
  <c r="G28"/>
  <c r="E28"/>
  <c r="D28"/>
  <c r="H27"/>
  <c r="G27"/>
  <c r="F27"/>
  <c r="H26"/>
  <c r="G26"/>
  <c r="E26"/>
  <c r="H25"/>
  <c r="F25"/>
  <c r="E25"/>
  <c r="D25" s="1"/>
  <c r="H24"/>
  <c r="G24"/>
  <c r="E24"/>
  <c r="D24"/>
  <c r="H20"/>
  <c r="G20" s="1"/>
  <c r="F20"/>
  <c r="E20"/>
  <c r="D20" s="1"/>
  <c r="G17"/>
  <c r="F17"/>
  <c r="E17"/>
  <c r="D17"/>
  <c r="H16"/>
  <c r="G16"/>
  <c r="F16"/>
  <c r="D16"/>
  <c r="H15"/>
  <c r="G15"/>
  <c r="F15"/>
  <c r="E15"/>
  <c r="D15"/>
  <c r="H14"/>
  <c r="G14"/>
  <c r="F14"/>
  <c r="E14"/>
  <c r="D14" s="1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/>
  <c r="F8"/>
  <c r="E8" s="1"/>
  <c r="D8" s="1"/>
  <c r="H7"/>
  <c r="G7"/>
  <c r="E7" s="1"/>
  <c r="D7" s="1"/>
  <c r="H6"/>
  <c r="G6"/>
  <c r="E6"/>
  <c r="D6"/>
  <c r="H5"/>
  <c r="G5"/>
  <c r="E5"/>
  <c r="D5"/>
  <c r="H4"/>
  <c r="G4"/>
  <c r="F4"/>
  <c r="E4"/>
  <c r="D4" s="1"/>
  <c r="H63" i="5"/>
  <c r="G63" s="1"/>
  <c r="F63" s="1"/>
  <c r="E63" s="1"/>
  <c r="D63" s="1"/>
  <c r="H55"/>
  <c r="G55"/>
  <c r="F55"/>
  <c r="E55"/>
  <c r="D55"/>
  <c r="D50"/>
  <c r="E46"/>
  <c r="D46"/>
  <c r="D45"/>
  <c r="E44"/>
  <c r="D44"/>
  <c r="H41"/>
  <c r="H40"/>
  <c r="G40"/>
  <c r="F40"/>
  <c r="E40"/>
  <c r="D40"/>
  <c r="H39"/>
  <c r="E39"/>
  <c r="D39"/>
  <c r="H36"/>
  <c r="G36"/>
  <c r="F36"/>
  <c r="E36" s="1"/>
  <c r="D36"/>
  <c r="H35"/>
  <c r="H32"/>
  <c r="H31"/>
  <c r="E31"/>
  <c r="D31"/>
  <c r="E29"/>
  <c r="D29"/>
  <c r="H28"/>
  <c r="E28"/>
  <c r="D28"/>
  <c r="H27"/>
  <c r="G27"/>
  <c r="F27"/>
  <c r="E26"/>
  <c r="H25"/>
  <c r="G25"/>
  <c r="F25"/>
  <c r="E25"/>
  <c r="D25" s="1"/>
  <c r="H24"/>
  <c r="E24"/>
  <c r="D24"/>
  <c r="H20"/>
  <c r="G20"/>
  <c r="F20"/>
  <c r="E20" s="1"/>
  <c r="D20" s="1"/>
  <c r="H17"/>
  <c r="F17"/>
  <c r="E17"/>
  <c r="D17" s="1"/>
  <c r="H16"/>
  <c r="G16"/>
  <c r="F16"/>
  <c r="D16"/>
  <c r="H15"/>
  <c r="G15"/>
  <c r="F15"/>
  <c r="E15"/>
  <c r="D15"/>
  <c r="H14"/>
  <c r="G14"/>
  <c r="F14" s="1"/>
  <c r="E14"/>
  <c r="D14"/>
  <c r="H13"/>
  <c r="G13"/>
  <c r="F13"/>
  <c r="E13"/>
  <c r="D13" s="1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 s="1"/>
  <c r="F8"/>
  <c r="E8" s="1"/>
  <c r="D8" s="1"/>
  <c r="H7"/>
  <c r="E7" s="1"/>
  <c r="D7"/>
  <c r="H6"/>
  <c r="E6"/>
  <c r="D6"/>
  <c r="H5"/>
  <c r="G5"/>
  <c r="E5"/>
  <c r="D5"/>
  <c r="H4"/>
  <c r="G4"/>
  <c r="F4"/>
  <c r="E4" s="1"/>
  <c r="D4" s="1"/>
  <c r="H63" i="4"/>
  <c r="G63"/>
  <c r="F63"/>
  <c r="E63" s="1"/>
  <c r="D63" s="1"/>
  <c r="H55"/>
  <c r="G55"/>
  <c r="F55"/>
  <c r="E55"/>
  <c r="D55"/>
  <c r="D50"/>
  <c r="E46"/>
  <c r="D46"/>
  <c r="D45"/>
  <c r="E44"/>
  <c r="D44"/>
  <c r="G40"/>
  <c r="F40"/>
  <c r="E40"/>
  <c r="D40"/>
  <c r="H39"/>
  <c r="E39"/>
  <c r="D39"/>
  <c r="H36"/>
  <c r="G36"/>
  <c r="F36"/>
  <c r="E36"/>
  <c r="D36"/>
  <c r="H35"/>
  <c r="E31"/>
  <c r="D31"/>
  <c r="E29"/>
  <c r="D29"/>
  <c r="E28"/>
  <c r="D28"/>
  <c r="H27"/>
  <c r="G27"/>
  <c r="F27"/>
  <c r="E26"/>
  <c r="H25"/>
  <c r="G25"/>
  <c r="F25"/>
  <c r="E25"/>
  <c r="D25" s="1"/>
  <c r="E24"/>
  <c r="D24"/>
  <c r="H20" s="1"/>
  <c r="G20"/>
  <c r="F20"/>
  <c r="E20"/>
  <c r="D20" s="1"/>
  <c r="F17"/>
  <c r="E17"/>
  <c r="D17" s="1"/>
  <c r="H16"/>
  <c r="G16"/>
  <c r="F16"/>
  <c r="D16"/>
  <c r="H15"/>
  <c r="G15"/>
  <c r="F15"/>
  <c r="E15"/>
  <c r="D15"/>
  <c r="H14"/>
  <c r="G14"/>
  <c r="F14"/>
  <c r="E14"/>
  <c r="D14" s="1"/>
  <c r="G13"/>
  <c r="F13"/>
  <c r="E13" s="1"/>
  <c r="D13" s="1"/>
  <c r="G12"/>
  <c r="F12"/>
  <c r="E12"/>
  <c r="D12"/>
  <c r="G11"/>
  <c r="F11"/>
  <c r="E11"/>
  <c r="D11"/>
  <c r="H10"/>
  <c r="G10"/>
  <c r="F10"/>
  <c r="E10"/>
  <c r="D10"/>
  <c r="H9"/>
  <c r="G9"/>
  <c r="F9"/>
  <c r="E9"/>
  <c r="D9"/>
  <c r="H8"/>
  <c r="G8"/>
  <c r="F8"/>
  <c r="E8"/>
  <c r="D8" s="1"/>
  <c r="E7" s="1"/>
  <c r="D7" s="1"/>
  <c r="E6"/>
  <c r="D6"/>
  <c r="E5"/>
  <c r="D5"/>
  <c r="H4"/>
  <c r="G4"/>
  <c r="F4"/>
  <c r="E4"/>
  <c r="D4" s="1"/>
  <c r="E62" i="3"/>
  <c r="D62" s="1"/>
  <c r="E55"/>
  <c r="D55"/>
  <c r="D50"/>
  <c r="E46"/>
  <c r="D46"/>
  <c r="D45"/>
  <c r="E44"/>
  <c r="D44"/>
  <c r="E40"/>
  <c r="D40"/>
  <c r="E39"/>
  <c r="D39"/>
  <c r="E36" s="1"/>
  <c r="D36" s="1"/>
  <c r="E31"/>
  <c r="D31"/>
  <c r="E29"/>
  <c r="D29"/>
  <c r="E28"/>
  <c r="D28"/>
  <c r="E26"/>
  <c r="E25"/>
  <c r="D25" s="1"/>
  <c r="E24"/>
  <c r="D24"/>
  <c r="E20"/>
  <c r="D20"/>
  <c r="E17"/>
  <c r="D17"/>
  <c r="D16"/>
  <c r="E15"/>
  <c r="D15"/>
  <c r="E14"/>
  <c r="D14" s="1"/>
  <c r="E13" s="1"/>
  <c r="D13"/>
  <c r="E12"/>
  <c r="D12"/>
  <c r="E11"/>
  <c r="D11"/>
  <c r="E10"/>
  <c r="D10"/>
  <c r="E9"/>
  <c r="D9"/>
  <c r="E8" s="1"/>
  <c r="D8" s="1"/>
  <c r="E7" s="1"/>
  <c r="D7"/>
  <c r="E6"/>
  <c r="D6"/>
  <c r="E5"/>
  <c r="D5"/>
  <c r="E4" s="1"/>
  <c r="D4"/>
  <c r="D6" i="11"/>
  <c r="D12" s="1"/>
  <c r="E12" l="1"/>
  <c r="E6"/>
</calcChain>
</file>

<file path=xl/sharedStrings.xml><?xml version="1.0" encoding="utf-8"?>
<sst xmlns="http://schemas.openxmlformats.org/spreadsheetml/2006/main" count="1104" uniqueCount="416">
  <si>
    <t>Наименование</t>
  </si>
  <si>
    <t xml:space="preserve">Капитальные вложения, в т.ч  </t>
  </si>
  <si>
    <t>строительство ПНИ "Оксочи" д.Подгорное Маловишерского р-на</t>
  </si>
  <si>
    <t>строительство РОЦ "Юрьево"</t>
  </si>
  <si>
    <t>департамент труда и социальной защиты населения Новгородской области</t>
  </si>
  <si>
    <t>Содержание центров занятости, всего</t>
  </si>
  <si>
    <t>Содержание учреждений социального обслуживания, всего</t>
  </si>
  <si>
    <t>Содержание аппарата управления ,  всего</t>
  </si>
  <si>
    <t>Единовременная выплата при награждении орденом и медалью ордена "Родительская слава"</t>
  </si>
  <si>
    <t>Единовременная выплата при награждении почетным знаком "За верность родительскому долгу"</t>
  </si>
  <si>
    <t>Перевозка несовершеннолетних, ушедших из детских домов</t>
  </si>
  <si>
    <t>Путевки на санаторно-курортное лечение реабилитированных лиц</t>
  </si>
  <si>
    <t>в том числе:</t>
  </si>
  <si>
    <t xml:space="preserve">                      коммунальные услуги</t>
  </si>
  <si>
    <t>Утвержденные ассигнования на 2016 год департаменту труда и социальной защиты населения Новгородской области</t>
  </si>
  <si>
    <t>Адаптация для инвалидов и других маломобильных групп населения приоритетных объектов социальной инфраструктуры - учреждений занятости населения области</t>
  </si>
  <si>
    <t>Организация и проведение торжественного мероприятия, посвященного 25-летию службы занятости населения</t>
  </si>
  <si>
    <t xml:space="preserve">         коммунальные услуги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</si>
  <si>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нужды) 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</si>
  <si>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</si>
  <si>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</si>
  <si>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>Предоставление мер социальной поддержки по назначению и выплате ежемесячной компенсации расходов на уплату взноса на капитальный ремонт общего имущества в многоквартирном доме отдельным собственникам жилых помещений, проживающим на территории Новгородской области</t>
  </si>
  <si>
    <t xml:space="preserve">Предоставление ежемесячной доплаты к государственной пенсии лицам, замещавшим государственные должности государственной службы Новгородской области </t>
  </si>
  <si>
    <t>Строительство психоневрологического интерната на 200 мест в д. Подгорное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</si>
  <si>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2014-2016 годы"</t>
  </si>
  <si>
    <t xml:space="preserve">Обеспечение предоставления мер социальной поддержки гражданам, подвергшимся воздействию радиации, на оплату жилого помещения и коммунальных услуг </t>
  </si>
  <si>
    <t xml:space="preserve">Предоставление дополнительных мер социальной поддержки многодетным семьям (региональный капитал "Семья") </t>
  </si>
  <si>
    <t>Резервные фонды исполнительных органов государственной власти Новгородской области ( распоряжение Правительства Новгородской области об оказании мат.помощи семье Ивановых в связи с гибелью дочери)</t>
  </si>
  <si>
    <t xml:space="preserve">Обеспечение предоставления отдельных мер социальной поддержки гражданам, подвергшимся воздействию радиации </t>
  </si>
  <si>
    <t xml:space="preserve">Обеспечение предоставления мер социальной поддержки лиц, награжденных знаком "Почетный донор СССР", "Почетный донор России" </t>
  </si>
  <si>
    <t xml:space="preserve">Обеспечение предоставления мер социальной поддержки по оплате жилищно-коммунальных услуг отдельным категориям граждан 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</si>
  <si>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</t>
  </si>
  <si>
    <t>Осуществление отдельных государственных полномочий по назначению и выплате единовременного пособия одинокой матери</t>
  </si>
  <si>
    <t xml:space="preserve">Предоставление субсидий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 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</si>
  <si>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</si>
  <si>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Единовременное пособие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19.05.1995года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</si>
  <si>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ликвидацией организаций (прекращением деятельности, полномочий физическими лицами), в соответствии с Федеральным законом от 19.05.1995г № 81-ФЗ "О государственных пособиях гражданам, имеющим детей"</t>
  </si>
  <si>
    <t xml:space="preserve">                        коммунальные услуги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</si>
  <si>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</si>
  <si>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2014-2018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</si>
  <si>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2014-2018 годы" 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</si>
  <si>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</si>
  <si>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>Реализация мероприятий государственной программы Новгородской области "Содействие занятости населения в Новгородской области на 2014-2020 годы"</t>
  </si>
  <si>
    <t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(льготы-село)</t>
  </si>
  <si>
    <t>а также:</t>
  </si>
  <si>
    <t>Мероприятия государственных программ, всего</t>
  </si>
  <si>
    <t>питание</t>
  </si>
  <si>
    <t xml:space="preserve">        медикаменты</t>
  </si>
  <si>
    <t xml:space="preserve">    матзатраты</t>
  </si>
  <si>
    <t xml:space="preserve">      матзатраты</t>
  </si>
  <si>
    <t xml:space="preserve">в том числе: </t>
  </si>
  <si>
    <t xml:space="preserve">        зарплата и начисления</t>
  </si>
  <si>
    <t>прочие расходы</t>
  </si>
  <si>
    <t xml:space="preserve">                   зарплата и начисления</t>
  </si>
  <si>
    <t xml:space="preserve">                    зарплата и начисления</t>
  </si>
  <si>
    <t xml:space="preserve"> Организация работ по реконструкции здания "Реабилитационный центр для детей и подростков с ограниченными возможностями "Юрьево"</t>
  </si>
  <si>
    <t>Обеспечение мероприятий, связанных с отдыхом и оздоровлением детей, находящихся в трудной жизненной ситуации</t>
  </si>
  <si>
    <t xml:space="preserve">Субсидии и субвенции муниципальным образованиям, </t>
  </si>
  <si>
    <t>ИТОГО:</t>
  </si>
  <si>
    <t>Примечание</t>
  </si>
  <si>
    <t>департамент труда и социальной защиты населения Новгородской обасти</t>
  </si>
  <si>
    <t>ГОКУ "Центр по организации социального обслуживания и предоставления социальных выплат", 6 бюджетных учреждений,  32 автономных учреждений</t>
  </si>
  <si>
    <t>ГОКУ "Центр занятости населения Новгородской области"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</si>
  <si>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2014-2020 годы"</t>
  </si>
  <si>
    <t xml:space="preserve"> обучение гос.служащих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</si>
  <si>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и государственная поддержка развития местного самоуправления в Новгородской области на 2015-2020 годы" </t>
  </si>
  <si>
    <t>образовательные курсы</t>
  </si>
  <si>
    <t>в том числе  из ФБ - 194687836,64 рублей</t>
  </si>
  <si>
    <t>в том числе  из ФБ 4029000,00 рублей</t>
  </si>
  <si>
    <t>в том числе  из ФБ - 30998,81 рублей</t>
  </si>
  <si>
    <t>в том числе  из ФБ - 2416482,69 рублей</t>
  </si>
  <si>
    <t>в том числе  из ФБ - 12738000 рублей</t>
  </si>
  <si>
    <t>в том числе  из ФБ - 8702567,50 рублей</t>
  </si>
  <si>
    <t>в том числе  из ФБ - 38602489,63 рублей</t>
  </si>
  <si>
    <t>Организация проката технических средств реабилитации-300000,00; "социальное такси"-1499973,39</t>
  </si>
  <si>
    <t>в т.ч. Софинансирование ПФР 2819310 рублей</t>
  </si>
  <si>
    <t>в том числе  из ФБ - 162000000 рублей</t>
  </si>
  <si>
    <t>в том числе  из ФБ - 183735800 рублей</t>
  </si>
  <si>
    <t>в том числе  из ФБ - 44300 рублей</t>
  </si>
  <si>
    <t>в том числе  из ФБ - 13169600 рублей</t>
  </si>
  <si>
    <t>в том числе  из ФБ - 12855,37 рублей</t>
  </si>
  <si>
    <t>в том числе  из ФБ - 3469266,14 рублей</t>
  </si>
  <si>
    <t>в том числе  из ФБ - 188484500 рублей</t>
  </si>
  <si>
    <t>средства  из ФБ - 1740839,97 рублей</t>
  </si>
  <si>
    <t>Исполнение бюджета за 2016 год</t>
  </si>
  <si>
    <t>Утвержденные ассигнования на 2017 год департаменту труда и социальной защиты населения Новгородской области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</si>
  <si>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31.05.2017 года</t>
    </r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</si>
  <si>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 Новгородской области на 2016-2025 годы" 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</si>
  <si>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2017-2021 годы" (2014-2016 годы)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</si>
  <si>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нужды, организация материально-технического обеспечения мероприятий,изготовление памяток) </t>
  </si>
  <si>
    <t>в том числе  из ФБ план на 31.05.2017год 2448100,00 рублей</t>
  </si>
  <si>
    <t>в том числе  из ФБ - план на 31.05.2017-181315300 рублей</t>
  </si>
  <si>
    <t>в том числе  из ФБ план на 31.05.2017год 91400,00 рублей</t>
  </si>
  <si>
    <t>в том числе  из ФБ план на 31.05.2017год 4089940,00 рублей</t>
  </si>
  <si>
    <t>в том числе  из ФБ план на 31.05.2017год 12895700,00 рублей</t>
  </si>
  <si>
    <t>в том числе  из ФБ план на 31.05.2017год 41323100,00 рублей</t>
  </si>
  <si>
    <t>Организация проката технических средств реабилитации-300000,00; "социальное такси"-1500000/ а также в том числе  из ФБ план на 31.05.2017год 1855000,00 рублей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</si>
  <si>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2014-2020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</si>
  <si>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2014-2020 годы" 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</si>
  <si>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31.05.2017)</t>
  </si>
  <si>
    <t>в т.ч. Софинансирование ПФР _____рублей, из ФБ</t>
  </si>
  <si>
    <t>в том числе  из ФБ - ____ рублей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</si>
  <si>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размещения(ФБ)</t>
  </si>
  <si>
    <t>(пожар в Панковке, Авария в метро С.П.)</t>
  </si>
  <si>
    <t>в том числе  из ФБ план на 31.05.2017год 39700,00 рублей</t>
  </si>
  <si>
    <t>в том числе  из ФБ план на 31.05.2017год 154965000,00 рублей</t>
  </si>
  <si>
    <t>в том числе  из ФБ план на 31.05.2017год 32600,00 рублей</t>
  </si>
  <si>
    <t>в том числе  из ФБ план на 31.05.2017год 4277800,00 рублей</t>
  </si>
  <si>
    <t>в том числе  из ФБ план на 31.05.2017год 190679700,00 рублей</t>
  </si>
  <si>
    <t>Перечисления в бюджеты муниц.образований субвенции на оплату жилищно-коммунальных услуг отдельным категориям граждан (с 2017 года)</t>
  </si>
  <si>
    <t>в том числе  из ФБ план на 31.05.2017год 674038500,00 рублей</t>
  </si>
  <si>
    <t>в том числе  из ФБ план на 31.05.2017год 15419600,00 рублей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</si>
  <si>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30.06.2017 года</t>
    </r>
  </si>
  <si>
    <t>в том числе  из ФБ - план на 30.06.2017-181315300 рублей</t>
  </si>
  <si>
    <t>в том числе  из ФБ план на 30.06.2017год 2448100,00 рублей</t>
  </si>
  <si>
    <t>в том числе  из ФБ план на 30.06.2017год 91400,00 рублей</t>
  </si>
  <si>
    <t>в том числе  из ФБ план на 30.06.2017год 12895700,00 рублей</t>
  </si>
  <si>
    <t>в том числе  из ФБ план на 30.06.2017год 15419600,00 рублей</t>
  </si>
  <si>
    <t>в том числе  из ФБ план на 30.06.2017год 41323100,00 рублей</t>
  </si>
  <si>
    <t>Организация проката технических средств реабилитации-300000,00; "социальное такси"-1500000/ а также в том числе  из ФБ план на 30.06.2017год 1855000,00 рублей</t>
  </si>
  <si>
    <t>в том числе  из ФБ план на 30.06.2017год 154965000,00 рублей</t>
  </si>
  <si>
    <t>в том числе  из ФБ план на 30.06.2017год 32600,00 рублей</t>
  </si>
  <si>
    <t>в том числе  из ФБ план на 30.06.2017год 4277800,00 рублей</t>
  </si>
  <si>
    <t>в том числе  из ФБ план на 30.06.2017год 190679700,00 рублей</t>
  </si>
  <si>
    <t>в том числе  из ФБ план на 30.06.2017год 39700,00 рублей</t>
  </si>
  <si>
    <t>в том числе  из ФБ план на 30.06.2017год 674038500,00 рублей</t>
  </si>
  <si>
    <t>(пожар в Панковке, Авария в метро С.П., затопление в Любытинском районе)</t>
  </si>
  <si>
    <t xml:space="preserve">Резервные фонды исполнительных органов государственной власти Новгородской области </t>
  </si>
  <si>
    <t xml:space="preserve">Обеспечение предоставления мер социальной поддержки гражданам,  на оплату жилого помещения и коммунальных услуг </t>
  </si>
  <si>
    <t>Предоставление субвенций органам местного самоуправления на предоставление мер социальной поддержки по оплате жилищно-коммунальных услуг отдельным категориям граждан</t>
  </si>
  <si>
    <t>Обеспечение протезно-ортопедическими изделиями граждан Российской Федерации, местом жительства которых является территория Новгородской области, чей среднедушевой доход не превышает величину прожиточного минимума в расчете на душу населения, установленного в области, более чем на 50,0 %</t>
  </si>
  <si>
    <t>Выплата компенсаций на бесплатное захоронение умершего (погибшего) Героя Социалистического Труда, Героя Труда Российской Федерации и полного кавалера ордена Трудовой Славы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</si>
  <si>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31.12.2017)</t>
  </si>
  <si>
    <t xml:space="preserve">Исполнение бюджета                  2017 года </t>
  </si>
  <si>
    <t>Предоставление субвенций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</t>
  </si>
  <si>
    <t>в т.ч.</t>
  </si>
  <si>
    <t>в том числе  из ФБ план на 31.12.2017год 91400,00 рублей</t>
  </si>
  <si>
    <t>в том числе  из ФБ план на 31.12.2017год 4089940,00 рублей</t>
  </si>
  <si>
    <t>в том числе  из ФБ план на 31.12.2017год 13295700,00 рублей</t>
  </si>
  <si>
    <t>средства ПФРФ</t>
  </si>
  <si>
    <t>в том числе  из ФБ план на 31.12.2017год 41323100,00 рублей</t>
  </si>
  <si>
    <t>в том числе  из ФБ план на 31.12.2017год 15419600,00 рублей</t>
  </si>
  <si>
    <t>в том числе  из ФБ план на 31.12.2017год 584208500,00 рублей</t>
  </si>
  <si>
    <t>Оказание адресной поддержки инвалидам вследствие военной травмы, полученной при прохождении службы по призыву в Афганистане или на территории Северо-Кавказского региона, в виде ежемесячной денежной компенсации в возмещение вреда здоровью</t>
  </si>
  <si>
    <t xml:space="preserve">Организация проката технических средств реабилитации </t>
  </si>
  <si>
    <t>Организация транспортного обслуживания инвалидов ("социальное такси")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</si>
  <si>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организациях социального обслуживания
</t>
  </si>
  <si>
    <t xml:space="preserve"> в том числе  из ФБ план на 31.12.2017год  772315,18 рублей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</si>
  <si>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учреждениях службы занятости
</t>
  </si>
  <si>
    <t xml:space="preserve"> в том числе  из ФБ план на 31.12.2017год  669888,99 рублей</t>
  </si>
  <si>
    <t xml:space="preserve">Организация обеспечения инвалидов в соответствии с областным перечнем специальными средствами ухода, быта и доступа (бумага для письма рельефно-точечным шрифтом Брайля, грифели для письма шрифтом Брайля, очки, диктофон цифровой, сиденье-надставка для унитаза, прибор для измерения уровня сахара в крови с речевым выходом, тест-полоски к прибору для измерения уровня сахара в крови, телескопический пандус)
</t>
  </si>
  <si>
    <t xml:space="preserve">Организация круглосуточных диспетчерских центров связи для глухих с целью оказания экстренной и иной социальной помощи
</t>
  </si>
  <si>
    <t xml:space="preserve"> в том числе  из ФБ план на 31.12.2017год  197011,58 рублей</t>
  </si>
  <si>
    <t xml:space="preserve">Обучение (профессиональная переподготовка, повышение квалификации) русскому жестовому языку переводчиков в сфере профессиональной коммуникации неслышащих (переводчик жестового языка) и переводчиков в сфере профессиональной коммуникации лиц с нарушениями слуха и зрения (слепоглухих), в том числе тифлокомментаторов
</t>
  </si>
  <si>
    <t xml:space="preserve"> в том числе  из ФБ план на 31.12.2017год  49277,71 рублей</t>
  </si>
  <si>
    <t xml:space="preserve">Организация обучения специалистов органов службы занятости особенностям организации работы с инвалидами, в том числе по сопровождению при решении вопросов занятости (слепые и слабовидящие, глухие и слабослышащие, с нарушением функций опорно-двигательного аппарата, с когнитивными нарушениями, с психическими нарушениями и иные) в рамках реализации мероприятий государственной программы Российской Федерации "Доступная среда" на 2011 - 2020 годы
</t>
  </si>
  <si>
    <t xml:space="preserve"> в том числе  из ФБ план на 31.12.2017год  168668,51 рублей</t>
  </si>
  <si>
    <t xml:space="preserve">Организация субтитрирования телевизионных передач на областном телевидении
</t>
  </si>
  <si>
    <t xml:space="preserve"> в том числе  из ФБ план на 31.12.2017год  98500 рублей</t>
  </si>
  <si>
    <t xml:space="preserve">Организация размещения и транслирования социальной рекламы, направленной на формирование доступной среды (размещение рекламных баннеров и информационных роликов на областном телевидении)
</t>
  </si>
  <si>
    <t xml:space="preserve"> в том числе  из ФБ план на 31.12.2017год  56181,38 рублей</t>
  </si>
  <si>
    <t xml:space="preserve">Осуществление сбора, обобщения и анализа информации о качестве оказания услуг организациями социального обслуживания путем проведения мониторинга деятельности организаций социального обслуживания, анкетирования и социологических опросов граждан пожилого возраста и инвалидов, проживающих на территории области
</t>
  </si>
  <si>
    <t xml:space="preserve">Обеспечение деятельности консультационно-информационной службы "Единый социальный телефон"
</t>
  </si>
  <si>
    <t xml:space="preserve">Организация обеспечения маломобильных граждан пожилого возраста и инвалидов системами экстренного вызова оперативных служб
</t>
  </si>
  <si>
    <t xml:space="preserve">Организация выполнения работ по ремонту зданий организаций социального обслуживания
</t>
  </si>
  <si>
    <t xml:space="preserve">Организация выполнения работ по ремонту зданий организаций социального обслуживания
(субсидии Пенсионного фонда Российской Федерации)
</t>
  </si>
  <si>
    <t xml:space="preserve">Организация выполнения противопожарных, антитеррористических и иных мероприятий, направленных на обеспечение комплексной безопасности, организациями социального обслуживания
</t>
  </si>
  <si>
    <t xml:space="preserve">Организация дооснащения зданий организаций, осуществляющих стационарное социальное обслуживание, приборами автоматической пожарной сигнализации для обеспечения автоматического вывода сигнала срабатывания на пульт пожарной охраны, а также их последующего обслуживания
</t>
  </si>
  <si>
    <t xml:space="preserve">Организация обучения компьютерной грамотности неработающих пенсионеров
</t>
  </si>
  <si>
    <t>в т.ч. Софинансирование ПФР 235100,00 рублей, из ФБ</t>
  </si>
  <si>
    <t xml:space="preserve">Организация и проведение областного конкурса на звание "Лучший социальный работник"
</t>
  </si>
  <si>
    <t xml:space="preserve">Организация и проведение областного профессионального праздника "День социального работника"
</t>
  </si>
  <si>
    <t xml:space="preserve">Обновление и сопровождение официального сайта департамента
</t>
  </si>
  <si>
    <t xml:space="preserve">Приобретение вычислительной техники, расходных материалов и монтаж локально-вычислительных сетей
</t>
  </si>
  <si>
    <t>в том числе  из ФБ - 42400000,00 рублей</t>
  </si>
  <si>
    <t>в том числе  из ФБ - 80578000,00 рублей</t>
  </si>
  <si>
    <t>в том числе  из ФБ план на 31.12.2017год 39700,00 рублей</t>
  </si>
  <si>
    <t>в том числе  из ФБ план на 31.12.2017год 4403815,12 рублей</t>
  </si>
  <si>
    <t xml:space="preserve">Предоставление субсидий автономным учреждениям на приобретение новогодних подарков для детей, находящихся в трудной жизненной ситуации
</t>
  </si>
  <si>
    <t xml:space="preserve">Предоставление субсидий автономным учреждениям на проведение Губернаторской елки
</t>
  </si>
  <si>
    <t xml:space="preserve">Назначение и выплата единовременного пособия одинокой матери при рождении ребенка
</t>
  </si>
  <si>
    <t>в том числе  из ФБ план на 31.12.2017год 172870400,00 рублей</t>
  </si>
  <si>
    <t>в том числе  из ФБ план на 31.12.2017год 196562900,00 рублей</t>
  </si>
  <si>
    <t>Предоставление единовременной денежной выплаты многодетным матерям, награжденным почетным Дипломом Новгородской области многодетной матери</t>
  </si>
  <si>
    <t xml:space="preserve">Предоставление субсидий автономным учреждениям на организацию разработки и размещения социальной рекламы, направленной на укрепление авторитета семьи, профилактику семейного неблагополучия, жестокого обращения с детьми
</t>
  </si>
  <si>
    <t xml:space="preserve">Предоставление субсидии автономным учреждениям на организацию работы по изготовлению бланков удостоверений многодетных семей, проживающих на территории Новгородской области
</t>
  </si>
  <si>
    <t xml:space="preserve">Предоставление единовременной денежной выплаты семьям - победителям регионального этапа Всероссийского конкурса "Семья года"
</t>
  </si>
  <si>
    <t>в том числе  из ФБ план на 31.12.2017год 32600,00 рублей</t>
  </si>
  <si>
    <t xml:space="preserve">Предоставление субсидий автономным учреждениям на подготовку и организацию издания методических и иных материалов, направленных на профилактику безнадзорности несовершеннолетних, укрепление института семьи, пропаганду здорового образа жизни
</t>
  </si>
  <si>
    <t xml:space="preserve">Предоставление субсидий автономным учреждениям на проведение "круглых столов", семинаров, конференций, совещаний, заседаний по вопросам социальной поддержки семей с детьми, профилактики безнадзорности несовершеннолетних
</t>
  </si>
  <si>
    <t>(пожар в Панковке, Авария в метро С.П., затопление в Любытинском районе. Поддорский район и пр.)</t>
  </si>
  <si>
    <t>в том числе  из ФБ план на 31.12.2017год 2178500,00 рублей</t>
  </si>
  <si>
    <t>в том числе  из ФБ - план на 31.12.2017-151891900 рублей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</si>
  <si>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6 бюджетных учреждений,  31 автономных учреждений</t>
  </si>
  <si>
    <t xml:space="preserve"> Капитальный ремонт зданий за счет средств иных межбюджетных трансфертов из Резервного фонда Президента Российской Федерации</t>
  </si>
  <si>
    <t xml:space="preserve">Организация оказания адресной социальной помощи неработающим пенсионерам, являющимся получателями трудовых пенсий по старости и по инвалидности, в порядке, устанавливаемом областным нормативным правовым актом
</t>
  </si>
  <si>
    <t xml:space="preserve">Организация работы по изготовлению бланков строгой отчетности: листов талонов на бесплатный проезд в автомобильном транспорте межмуниципального сообщения на территории Новгородской области; бланков удостоверений "Ветеран труда Новгородской области"
</t>
  </si>
  <si>
    <t>Утвержденные ассигнования на 2017 год департаменту труда и социальной защиты населения Новгородской области (на 01.01.2017)</t>
  </si>
  <si>
    <t>Утвержденные ассигнования на 2018 год министерству труда и социальной защиты населения Новгородской области (на 01.01.2018)</t>
  </si>
  <si>
    <t>министерство труда и социальной защиты населения Новгородской области</t>
  </si>
  <si>
    <t>в том числе  из ФБ план на 31.03.2018год 2529200,00 рублей</t>
  </si>
  <si>
    <t>в том числе  из ФБ - план на 31.03.2018-172038600 рублей</t>
  </si>
  <si>
    <t>в том числе  из ФБ план на 31.03.2018год 91400,00 рублей</t>
  </si>
  <si>
    <t>в том числе  из ФБ план на 31.03.2018год 654084500,00 рублей</t>
  </si>
  <si>
    <t>в том числе  из ФБ план на 31.03.2018год 13317500,00 рублей</t>
  </si>
  <si>
    <t>в том числе  из ФБ план на 31.03.2018год  43655600,00 рублей</t>
  </si>
  <si>
    <t>в том числе  из ФБ план на 31.03.2018год 25300,00 рублей</t>
  </si>
  <si>
    <t>в том числе  из ФБ план на 31.03.2018год 27300,00 рублей</t>
  </si>
  <si>
    <t>в том числе  из ФБ план на 31.03.2018год 5012300,00 рублей</t>
  </si>
  <si>
    <t>в том числе  из ФБ план на 31.03.2018год 208012200,00 рублей</t>
  </si>
  <si>
    <t xml:space="preserve"> в том числе  из ФБ план на 31.03.2018год  175017,82 рублей</t>
  </si>
  <si>
    <t xml:space="preserve"> в том числе  из ФБ план на 31.03.2018год  524976,67 рублей</t>
  </si>
  <si>
    <t xml:space="preserve"> в том числе  из ФБ план на 31.03.2018год 38114,00 рублей</t>
  </si>
  <si>
    <t xml:space="preserve"> в том числе  из ФБ план на 31.03.2018год  21483 рублей</t>
  </si>
  <si>
    <t>в том числе  из ФБ план на 31.03.2018год 2112900,00 рублей</t>
  </si>
  <si>
    <t>в том числе  из ФБ план на 31.03.2018год 153203200,00 рублей</t>
  </si>
  <si>
    <t>в том числе  из ФБ план на 31.03.2018год 12809200,00 рублей</t>
  </si>
  <si>
    <t>Субвенция на выполнение полномочий Российской Федерации по осуществлению ежемесячной выплаты в связи с рождением (усыновлением) первого ребенка</t>
  </si>
  <si>
    <t>в том числе  из ФБ план на 31.03.2018год 65938000,00 рублей</t>
  </si>
  <si>
    <t>(смерть полицейского)</t>
  </si>
  <si>
    <t>в т.ч. Софинансирование ПФР 234000,00 рублей</t>
  </si>
  <si>
    <t>Развитие взаимодействия с негосударственными организациями, включенными в реестр поставщиков социальных услуг Новгородской области</t>
  </si>
  <si>
    <t>Исполнение бюджета                  2018 года (Iквартал)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</si>
  <si>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30.03.2018)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</si>
  <si>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5 бюджетных учреждений,  31 автономных учреждений</t>
  </si>
  <si>
    <t>ГОКУ "Центр по организации социального обслуживания и предоставления социальных выплат",  4 бюджетных учреждений,  32 автономных учреждений</t>
  </si>
  <si>
    <t>министерство труда и социальной защиты населения Новгородской обасти</t>
  </si>
  <si>
    <t>Исполнение бюджета                  2018 года (Iполугодие )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</si>
  <si>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30.06.2018)</t>
  </si>
  <si>
    <t>в том числе  из ФБ план на 30.06.2018год 25300,00 рублей</t>
  </si>
  <si>
    <t>в том числе  из ФБ - план на 30.06.2018-172038600 рублей</t>
  </si>
  <si>
    <t>в том числе  из ФБ план на 30.06.2018год 2529200,00 рублей</t>
  </si>
  <si>
    <t>в том числе  из ФБ план на 30.06.2018год 91400,00 рублей</t>
  </si>
  <si>
    <t>в том числе  из ФБ план на 30.06.2018год 2112900,00 рублей</t>
  </si>
  <si>
    <t>в том числе  из ФБ план на 30.06.2018год 12809200,00 рублей</t>
  </si>
  <si>
    <t>в том числе  из ФБ план на 30.06.2018год 13317500,00 рублей</t>
  </si>
  <si>
    <t>в том числе  из ФБ план на 30.06.2018год 654084500,00 рублей</t>
  </si>
  <si>
    <t>в том числе  из ФБ план на 30.06.2018год  43655600,00 рублей</t>
  </si>
  <si>
    <t xml:space="preserve"> в том числе  из ФБ план на 30.06.2018год  524976,67 рублей</t>
  </si>
  <si>
    <t xml:space="preserve"> в том числе  из ФБ план на 30.06.2018год  175017,82 рублей</t>
  </si>
  <si>
    <t xml:space="preserve"> в том числе  из ФБ план на 30.06.2018год 38114,00 рублей</t>
  </si>
  <si>
    <t xml:space="preserve"> в том числе  из ФБ план на 30.06.2018год  21483 рублей</t>
  </si>
  <si>
    <t>в том числе  из ФБ план на 30.06.2018год 153203200,00 рублей</t>
  </si>
  <si>
    <t>в том числе  из ФБ план на 30.06.2018год 27300,00 рублей</t>
  </si>
  <si>
    <t>в том числе  из ФБ план на 30.06.2018год 5012300,00 рублей</t>
  </si>
  <si>
    <t>в том числе  из ФБ план на 30.06.2018год 208012200,00 рублей</t>
  </si>
  <si>
    <t>в том числе  из ФБ план на 30.06.2018год 65938000,00 рублей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</si>
  <si>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01.10.2018)</t>
  </si>
  <si>
    <t>Исполнение бюджета                  2018 года (I-III кварталы)</t>
  </si>
  <si>
    <t>субвенция из федерального бюджета</t>
  </si>
  <si>
    <t>в том числе  субсидия из ФБ на софинансирование расходов план на 30.09.2018год 2529200,00 рублей, кассовый расход -855900 рублей</t>
  </si>
  <si>
    <t>в том числе средства из ФБ план на 30.09.2018год 91400,00 рублей, кассовый расход -52673,31 рублей</t>
  </si>
  <si>
    <t>в том числе  субсидия из  ФБ на софинансирование расходов план на 30.09.2018год 2112900,00 рублей, кассовый расход - 2112900,00 рублей</t>
  </si>
  <si>
    <t xml:space="preserve"> в том числе  субсидия из ФБ на софинансирование расходов план на 30.09.2018год  524976,67 рублей, кассовый расход 49199 рублей</t>
  </si>
  <si>
    <t xml:space="preserve"> в том числе  субсидия из ФБ на софинансирование расходов  план на 30.09.2018год  175017,82 рублей, кассовый расход 36765 рублей</t>
  </si>
  <si>
    <t>в том числе  субсидия из ФБ на софинансирование расходов  план на 30.09.2018год 153203200,00 рублей, кассовый расход 119499739,52 рубля</t>
  </si>
  <si>
    <t>в том числе  субвенция из федерального бюджета - план на 30.09.2018-172038600 рублей; кассовый расход- 92980305,25 рублей</t>
  </si>
  <si>
    <t xml:space="preserve"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</t>
  </si>
  <si>
    <t xml:space="preserve">Предоставление субсидии автономным учреждениям на организацию работы по изготовлению бланков удостоверений многодетных семей, проживающих на территории области
</t>
  </si>
  <si>
    <t>снятие</t>
  </si>
  <si>
    <t xml:space="preserve">в т.ч. </t>
  </si>
  <si>
    <t>Субвенции</t>
  </si>
  <si>
    <t>субсидии</t>
  </si>
  <si>
    <t>средства ПФ РФ</t>
  </si>
  <si>
    <t xml:space="preserve">занятость </t>
  </si>
  <si>
    <t>переселение</t>
  </si>
  <si>
    <t>соц.защита</t>
  </si>
  <si>
    <t xml:space="preserve">из них 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</si>
  <si>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charset val="204"/>
        <scheme val="minor"/>
      </rPr>
      <t xml:space="preserve"> средства консолидированного бюджета, доведенные до министерства труда и социальной защиты населения </t>
    </r>
  </si>
  <si>
    <r>
      <rPr>
        <b/>
        <sz val="12"/>
        <color theme="1"/>
        <rFont val="Calibri"/>
        <family val="2"/>
        <charset val="204"/>
        <scheme val="minor"/>
      </rPr>
      <t xml:space="preserve">ВСЕГО </t>
    </r>
    <r>
      <rPr>
        <sz val="11"/>
        <color theme="1"/>
        <rFont val="Calibri"/>
        <family val="2"/>
        <charset val="204"/>
        <scheme val="minor"/>
      </rPr>
      <t>средства Федерального бюджет</t>
    </r>
  </si>
  <si>
    <t>% исполнания за I-III кварталы</t>
  </si>
  <si>
    <t>ассигнования</t>
  </si>
  <si>
    <t>кассовый расход</t>
  </si>
  <si>
    <t>% исполнения</t>
  </si>
  <si>
    <t>прочие мероприятия</t>
  </si>
  <si>
    <t xml:space="preserve">СРЕДСТВА областного бюджета </t>
  </si>
  <si>
    <t>Всего по министерству</t>
  </si>
  <si>
    <t>будет прераспределены лимиты м\у статьями</t>
  </si>
  <si>
    <t>оплата по договорам после обучения (конец октября)</t>
  </si>
  <si>
    <t>оплата по договорам после обучения (до конца года)</t>
  </si>
  <si>
    <t>в соответствии с кассовым планом выплат</t>
  </si>
  <si>
    <t xml:space="preserve">будут уменьшены средства субвенции на 44038600 рублей </t>
  </si>
  <si>
    <t>заявительный характер</t>
  </si>
  <si>
    <t>проходят конкурсные процедуры</t>
  </si>
  <si>
    <t>будет уменьшен объем субвенции на 150000000 рублей</t>
  </si>
  <si>
    <t>основные мероприятия реализуются в четвертом квартале (за счет увеличения срока подготовки документов)</t>
  </si>
  <si>
    <t>подготовлены Соглашения на иные цели с учреждениями в соответствии с данными проекта гос программы (находится на согласовании с членами Правительства)</t>
  </si>
  <si>
    <t>в соответствии с графиком работ</t>
  </si>
  <si>
    <t>объем субвенции будет уменьшен на 1455400 рублей</t>
  </si>
  <si>
    <t>объем субвенции будет уменьшен на 26328400 рублей</t>
  </si>
  <si>
    <t>основные выплаты в четвертом квартале</t>
  </si>
  <si>
    <t>Сведения об использовании министерством труда и социальной защиты населения Новгородской области (подведомственными организациями) выделяемых бюджетных средств за 2018 год</t>
  </si>
  <si>
    <t>НКО по соглашению</t>
  </si>
  <si>
    <t>НКО на компенсацию затрат</t>
  </si>
  <si>
    <t>прочие организации на компенсацию затрат</t>
  </si>
  <si>
    <t xml:space="preserve"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2017-2021 годы" </t>
  </si>
  <si>
    <t>Содержание ГОКУ "Центр занятости населения Новгородской области", всего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</si>
  <si>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2014-2021 годы"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</si>
  <si>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 Новгородской области на 2017-2026 годы" </t>
  </si>
  <si>
    <t>Обучение государственных служащих и работников государственных учреждений</t>
  </si>
  <si>
    <t>Образовательные курсы для государственных служащих</t>
  </si>
  <si>
    <t>иной межбюджетный трансферт</t>
  </si>
  <si>
    <t>Утвержденные ассигнования на 2019 год министерству труда и социальной защиты населения Новгородской области(уточненная роспись расходов на 01.01.2019) (рублей)</t>
  </si>
  <si>
    <t>Утвержденные ассигнования на 2019 год министерству труда и социальной защиты населения Новгородской области(уточненная роспись расходов на 01.04.2019) (рублей)</t>
  </si>
  <si>
    <t>Исполнение бюджета  за 1 квартал  2019 года (рублей)</t>
  </si>
  <si>
    <t>% исполнения за 2019 год</t>
  </si>
  <si>
    <t>в том числе из областного бюджета</t>
  </si>
  <si>
    <t>в том числе из федерального бюджета</t>
  </si>
  <si>
    <t>Предоставление малоимущим семьям, малоимущим, одиноко проживающим гражданам соц поддержки на приобретение оборудования для цифрового приема телевизионного сигнала в размере понесенных расходов, но не более 1000 рублей</t>
  </si>
  <si>
    <t>в том числе из областного бюджета (сверх уровня софинансирования)</t>
  </si>
  <si>
    <t>в том числе из областного бюджета (по уровню софинансирования)</t>
  </si>
  <si>
    <t>изготовление удостоверений для Ветеранов труда Новгородской области</t>
  </si>
  <si>
    <t>Предоставление 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</t>
  </si>
  <si>
    <t>Предоставление неработающим пенсионерам региональной социальной доплаты к пенсии</t>
  </si>
  <si>
    <t xml:space="preserve">Предоставление субвенций органам местного самоуправления на социальную поддержку малоимущим семьям (малоимущим одиноко проживающим гражданам) на газификацию их домовладений
</t>
  </si>
  <si>
    <t xml:space="preserve">Оказание социальной поддержки малоимущим семьям (малоимущим одиноко проживающим гражданам) на газификацию их домовладений
</t>
  </si>
  <si>
    <t xml:space="preserve">Предоставление субвенций органам местного самоуправления на выплату социального пособия на погребение и возмещение стоимости услуг, предоставляемых согласно гарантированному перечню услуг по погребению
</t>
  </si>
  <si>
    <t xml:space="preserve">Выплата социального пособия на погребение и возмещение стоимости услуг, предоставляемых согласно гарантированному перечню услуг по погребению
</t>
  </si>
  <si>
    <t xml:space="preserve">Предоставление субвенций органам местного самоуправления на оказание государственной социальной помощи малоимущим семьям, малоимущим одиноко проживающим гражданам социальной поддержки отдельным категориям граждан, в том числе лицам, оказавшимся в трудной жизненной ситуации
</t>
  </si>
  <si>
    <t xml:space="preserve">Оказание государственной социальной помощи малоимущим семьям, малоимущим одиноко проживающим гражданам социальной поддержки отдельным категориям граждан, в том числе лицам, оказавшимся в трудной жизненной ситуации
</t>
  </si>
  <si>
    <t xml:space="preserve">Предоставление субвенций органам местного самоуправления на предоставление мер социальной поддержки ветеранов труда и граждан, приравненных к ним
</t>
  </si>
  <si>
    <t xml:space="preserve">Предоставление  мер социальной поддержки ветеранов труда и граждан, приравненных к ним
</t>
  </si>
  <si>
    <t xml:space="preserve">Предоставление субвенций органам местного самоуправления на предоставление мер социальной поддержки тружеников тыла
</t>
  </si>
  <si>
    <t xml:space="preserve">Предоставление мер социальной поддержки тружеников тыла
</t>
  </si>
  <si>
    <t xml:space="preserve">Предоставление субвенций органам местного самоуправления на предоставление мер социальной поддержки реабилитированных лиц и лиц, признанных пострадавшими от политических репрессий
</t>
  </si>
  <si>
    <t xml:space="preserve">Предоставление мер социальной поддержки реабилитированных лиц и лиц, признанных пострадавшими от политических репрессий
</t>
  </si>
  <si>
    <t xml:space="preserve">Предоставление субвенций органам местного самоуправления на предоставление мер социальной поддержки ветеранов труда Новгородской области
</t>
  </si>
  <si>
    <t xml:space="preserve">Предоставление  мер социальной поддержки ветеранов труда Новгородской области
</t>
  </si>
  <si>
    <t xml:space="preserve">Предоставление предоставление мер социальной поддержки по оплате жилья и коммунальных услуг отдельным категориям граждан, работающих и проживающих в сельских населенных пунктах и поселках городского типа
</t>
  </si>
  <si>
    <t xml:space="preserve">Предоставление субвенций органам местного самоуправления на предоставление дополнительных мер социальной поддержки лиц, удостоенных звания "Герой Социалистического Труда"
</t>
  </si>
  <si>
    <t xml:space="preserve">Дополнительные меры социальной поддержки лиц, удостоенных звания "Герой Социалистического Труда"
</t>
  </si>
  <si>
    <t>приобретение и обслуживание двух автомобилей</t>
  </si>
  <si>
    <t>Обучение сурдопереводчика русского жестового языка</t>
  </si>
  <si>
    <t>Обслуживание информационной системы "Карта доступности Новгородской области" (1,3)</t>
  </si>
  <si>
    <t>Проведение конкурса профессионального мастерства среди людей с инвалидностью "Абилимпикс"</t>
  </si>
  <si>
    <t xml:space="preserve">Адаптация для инвалидов и других МГН приоритетных объектов социальной инфраструктуры- в медицинских организациях
</t>
  </si>
  <si>
    <t xml:space="preserve">Адаптация для инвалидов и других МГН приоритетных объектов социальной инфраструктуры- в учреждениях культуры
</t>
  </si>
  <si>
    <t xml:space="preserve">Адаптация для инвалидов и других МГН приоритетных объектов социальной инфраструктуры- в спортивных объектах
</t>
  </si>
  <si>
    <t xml:space="preserve">Комплектование книжного фонда спецбиблиотеки "Веда" литературой на специальных носителях
</t>
  </si>
  <si>
    <t>в том числе из федерального бюджета (ПФ)</t>
  </si>
  <si>
    <t>Организация подготовки бюджетным и автономным учреждениям на подготовку к отопительному сезону</t>
  </si>
  <si>
    <t xml:space="preserve">Организация выполнения работ по ремонту зданий организаций социального обслуживания (со средствами ПФ)
</t>
  </si>
  <si>
    <t>в т.ч. Средства областного бюджета (Организация выполнения работ по ремонту зданий)</t>
  </si>
  <si>
    <t>в т.ч. Средства областного бюджета</t>
  </si>
  <si>
    <t>в т.ч. (субсидии Пенсионного фонда Российской Федерации)</t>
  </si>
  <si>
    <t>Организация работы по изготовлению и распространеиню  социальной рекламы</t>
  </si>
  <si>
    <t>Проведение мониторинга деятельности организаций социального обслуживания</t>
  </si>
  <si>
    <t>Обеспечение государственных учреждений приборами учета используемых ресурсов</t>
  </si>
  <si>
    <t xml:space="preserve">Предоставление субвенций органам местного самоуправления на выплату пособия на ребенка и единовременного пособия при рождении третьего и последующих детей
</t>
  </si>
  <si>
    <t xml:space="preserve">Выплата пособия на ребенка и единовременного пособия при рождении третьего и последующих детей
</t>
  </si>
  <si>
    <t xml:space="preserve">Предоставление субвенций органам местного самоуправления на предоставление мер социальной поддержки многодетным семьям
</t>
  </si>
  <si>
    <t xml:space="preserve">Предоставление  мер социальной поддержки многодетным семьям
</t>
  </si>
  <si>
    <t xml:space="preserve">Предоставление субвенций органам местного самоуправления на компенсацию затрат на проезд в междугородном сообщении детям, нуждающимся в санаторно-курортном лечении
</t>
  </si>
  <si>
    <t xml:space="preserve">Предоставление льготы на проезд в транспорте междугородного сообщения детям, нуждающимся в санаторно-курортном лечении
</t>
  </si>
  <si>
    <t xml:space="preserve"> Организация работы по назначению и выплате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
</t>
  </si>
  <si>
    <t>Проведение акции "Родарок новорожденному"</t>
  </si>
  <si>
    <t>Предоставление единовременной денежной выплаты многодетным матерям, награжденным почетным Дипломом Новгородской области многодетной матери/ организация церемонии награждения</t>
  </si>
  <si>
    <t xml:space="preserve">Предоставление единовременной денежной выплаты семьям - победителям регионального этапа Всероссийского конкурса "Семья года", "День матери", начало учебного года, День семьи
</t>
  </si>
  <si>
    <t>Реализация мероприятий государственной программы Новгородской области "Содействие занятости населения в Новгородской области на 2014-2021 годы"</t>
  </si>
  <si>
    <t>Организация профессионального обучения и дополнительного профессионального образования лиц предпенсионного возраста (Федер.бюджет)</t>
  </si>
  <si>
    <t>Информирование граждан о положении на рынке труда области</t>
  </si>
  <si>
    <t>Организация ярмарок вакансий и учебных рабочих мест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</si>
  <si>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на возмещение части затрат, связанных с трудоустройством несовершеннолетних по квоте организации, установленной областным законом от 03.10.2011 N 1054-ОЗ "О квотировании рабочих мест для трудоустройства несовершеннолетних граждан в Новгородской области", в порядке, установленном Правительством Новгородской области</t>
  </si>
  <si>
    <t>Предоставление субсидий юридическим лицам (за исключением субсидий государственным (муниципальным) учреждениям) индивидуальным предпринимателям, физическим лицам-производителям товаров, работ, услуг на возмещение затрат на оборудование (оснащение) рабочих мест для трудоустройства выпускников профессиональных образовательных организаций и образовательных организаций высшего образования в порядке, установленном Правительством Новгородской области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</si>
  <si>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службы занятости
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</si>
  <si>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на возмещение затрат на оборудование (оснащение) рабочих мест для трудоустройства незанятых инвалидов в порядке, установленном Правительством Новгородской области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</si>
  <si>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на возмещение затрат на создание условий для совмещения женщинами обязанностей по воспитанию детей с трудовой занятостью в порядке, установленном Правительством Новгородской области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</si>
  <si>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на возмещение затрат на 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 в порядке, установленном Правительством Новгородской области
</t>
  </si>
  <si>
    <t>Организация профессионального обучения и дополнительного профессионального образования женщин в период отпуска по уходу за ребенком до достижения им возраста 3 лет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</si>
  <si>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товаров, работ, услуг на возмещение затрат на оплату труда наставников при трудоустройстве незанятых инвалидов молодого возраста в порядке, установленном Правительством Новгородской области</t>
  </si>
  <si>
    <t xml:space="preserve">Улучшение условий и охраны труда </t>
  </si>
  <si>
    <t>Организация профессионального обучения и дополнительного профессионального образования лиц предпенсионного возраста (Областной бюджет)</t>
  </si>
  <si>
    <t>ГОКУ "Центр по организации социального обслуживания и предоставления социальных выплат"</t>
  </si>
  <si>
    <t xml:space="preserve"> зарплата и начисления</t>
  </si>
  <si>
    <t>коммунальные услуги</t>
  </si>
  <si>
    <t xml:space="preserve"> матзатраты</t>
  </si>
  <si>
    <t>в том числе</t>
  </si>
  <si>
    <t>федеральный бюджет</t>
  </si>
  <si>
    <t>областной бюджет</t>
  </si>
  <si>
    <t>Реализация мероприятий государственной программы Новгородской области "Развитие образования в Новгородской области на 2014 - 2024 годы"</t>
  </si>
  <si>
    <t xml:space="preserve">Организация проведения оплачиваемых общественных работ, временного трудоустройства безработных граждан,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впервые, несовершеннолетних граждан в возрасте от 14 до 18 лет в свободное от учебы время.                                                                                             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   </t>
  </si>
  <si>
    <t xml:space="preserve">Организация профессионального обучения и дополнительного профессионального образования безработных граждан, включая обучение в другой местности. Организация профессионального обучения и дополнительного профессионального образования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
</t>
  </si>
  <si>
    <t>Осуществление социальных выплат гражданам, признанным в установленном порядке безработными, в виде: пособия по безработице;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занятости; материальной помощи в связи с истечением установленного периода выплаты пособия по безработице; материальной помощи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</si>
  <si>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назначенную досрочно</t>
  </si>
  <si>
    <t>Содержание министерства туда и социальной защиты населения Новгородской области,  всего</t>
  </si>
  <si>
    <t>Мероприятия государственных программ, ВСЕГО</t>
  </si>
  <si>
    <t xml:space="preserve">  4 бюджетных учреждения,  32 автономных учреждения </t>
  </si>
  <si>
    <t>Субсидии  негосударственными некоммерческими организациями социального обслуживания на компенсацию затрат, связанных с предоставлением социальных услуг, предусмотренных индивидуальной программой предоставления социальных услуг, получателям социальных услуг</t>
  </si>
  <si>
    <t xml:space="preserve">Затраты компенсируются по предоставленным документам, подтверждающие расходы. </t>
  </si>
  <si>
    <t>Затраты компенсируются по предоставленным документам, подтверждающие расходы.</t>
  </si>
  <si>
    <t xml:space="preserve">Средства будут использованы в течении 2019 года. 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</si>
  <si>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2014-2021 годы"</t>
  </si>
  <si>
    <t>6.1</t>
  </si>
  <si>
    <t>6.2</t>
  </si>
  <si>
    <t>6.3</t>
  </si>
  <si>
    <t>6.4</t>
  </si>
  <si>
    <t>6.5</t>
  </si>
  <si>
    <t>6.6</t>
  </si>
  <si>
    <t>6.7</t>
  </si>
  <si>
    <t xml:space="preserve">Компенсация расходов граждан, связанных с приобретением проездного билета в городском и (или) пригородном сообщении. </t>
  </si>
  <si>
    <t xml:space="preserve">Предоставление мер социальной поддержки по оплате жилья и коммунальных услуг отдельным категориям граждан, работающих и проживающих в сельских населенных пунктах и поселках городского типа
</t>
  </si>
  <si>
    <t xml:space="preserve">в том числе из областного бюджета </t>
  </si>
  <si>
    <t xml:space="preserve">Организация обеспечения маломобильных граждан пожилого возраста и инвалидов системами экстренного вызова оперативных служб (в рамках реализации рег.проекта "Старшее поколение")
</t>
  </si>
  <si>
    <t>Строительство психоневрологического интерната на 200 мест в д. Подгорное (в рамках реализации рег.проекта "Старшее поколение")</t>
  </si>
  <si>
    <t xml:space="preserve">Организация выполнения работ по ремонту зданий организаций социального обслуживания
(в рамках реализации рег.проекта "Старшее поколение"))
</t>
  </si>
  <si>
    <t>Также для реализации данной подпрограммы на других соисполнителей направлены средства: Адаптация для инвалидов и других МГН приоритетных объектов социальной инфраструктуры- в медицинских организациях
104500 рублей, Адаптация для инвалидов и других МГН приоритетных объектов социальной инфраструктуры- в учреждениях культуры-52300 рублей.  Адаптация для инвалидов и других МГН приоритетных объектов социальной инфраструктуры- в спортивных объектах-52300 рублей, Комплектование книжного фонда спецбиблиотеки "Веда" литературой на специальных носителях- 11400 рублей</t>
  </si>
  <si>
    <t>Мероприятия государственной программы "Социальная поддержка граждан в Новгородской области на 2014-2021 годы" (кроме содержания министерства и учреждений), всего</t>
  </si>
  <si>
    <t>Областной бюджет</t>
  </si>
  <si>
    <t>Реализация мероприятий подпрограммы "Подпрограмма "Создание системы долговременного ухода за гражданами пожилого возраста и инвалидами в Новгородской области" государственной программы Новгородской области "Социальная поддержка граждан в Новгородской области на 2014-2021годы"</t>
  </si>
  <si>
    <t>Приобретение автотранспорта в целях доставки лиц старше 65 лет, проживающих в сельской местности, в медицинские организации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</si>
  <si>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2014-2021 годы"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</si>
  <si>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2014-2021 годы" 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</si>
  <si>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2014-2021 годы" </t>
  </si>
  <si>
    <t>средства областного бюджета для реализации мероприятий  переданы в другие министерства (др.соисполнителям)</t>
  </si>
  <si>
    <t>Сведения об использовании министерством труда и социальной защиты населения Новгородской области (подведомственными организациями) выделяемых бюджетных средств за I квартал 2019 года</t>
  </si>
  <si>
    <t>Информация на 01.04.2019 по росписи министерства труда и социальной защиты населения Новгородской области (рублей)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</si>
</sst>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;\ \-\ #,##0.00;\ \-"/>
    <numFmt numFmtId="167" formatCode="0.0%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6" fillId="0" borderId="0" applyFont="0" applyFill="0" applyBorder="0" applyAlignment="0" applyProtection="0"/>
  </cellStyleXfs>
  <cellXfs count="357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0" xfId="1" applyFont="1"/>
    <xf numFmtId="0" fontId="9" fillId="0" borderId="1" xfId="0" applyFont="1" applyBorder="1" applyAlignment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 shrinkToFit="1"/>
    </xf>
    <xf numFmtId="165" fontId="6" fillId="3" borderId="1" xfId="1" applyNumberFormat="1" applyFont="1" applyFill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165" fontId="6" fillId="2" borderId="1" xfId="1" applyNumberFormat="1" applyFont="1" applyFill="1" applyBorder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166" fontId="8" fillId="0" borderId="1" xfId="0" applyNumberFormat="1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 wrapText="1"/>
    </xf>
    <xf numFmtId="0" fontId="6" fillId="6" borderId="3" xfId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165" fontId="8" fillId="6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0" fontId="6" fillId="6" borderId="2" xfId="1" applyFont="1" applyFill="1" applyBorder="1" applyAlignment="1">
      <alignment vertical="top"/>
    </xf>
    <xf numFmtId="0" fontId="6" fillId="6" borderId="6" xfId="1" applyFont="1" applyFill="1" applyBorder="1" applyAlignment="1">
      <alignment vertical="top"/>
    </xf>
    <xf numFmtId="0" fontId="6" fillId="6" borderId="5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center" vertical="top"/>
    </xf>
    <xf numFmtId="2" fontId="6" fillId="2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2" fontId="8" fillId="6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center" vertical="top"/>
    </xf>
    <xf numFmtId="2" fontId="13" fillId="0" borderId="1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14" fillId="0" borderId="1" xfId="0" applyFont="1" applyBorder="1"/>
    <xf numFmtId="0" fontId="8" fillId="0" borderId="2" xfId="1" applyFont="1" applyBorder="1" applyAlignment="1">
      <alignment vertical="top" wrapText="1"/>
    </xf>
    <xf numFmtId="165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 wrapText="1"/>
    </xf>
    <xf numFmtId="0" fontId="8" fillId="6" borderId="2" xfId="1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8" fillId="6" borderId="1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horizontal="center" vertical="top"/>
      <protection locked="0"/>
    </xf>
    <xf numFmtId="2" fontId="8" fillId="6" borderId="1" xfId="0" applyNumberFormat="1" applyFont="1" applyFill="1" applyBorder="1" applyAlignment="1" applyProtection="1">
      <alignment horizontal="center" vertical="top"/>
      <protection locked="0"/>
    </xf>
    <xf numFmtId="2" fontId="6" fillId="6" borderId="2" xfId="1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  <protection locked="0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2" fontId="6" fillId="7" borderId="1" xfId="1" applyNumberFormat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8" fillId="0" borderId="4" xfId="0" applyNumberFormat="1" applyFont="1" applyBorder="1" applyAlignment="1" applyProtection="1">
      <alignment horizontal="center" vertical="top" wrapText="1"/>
      <protection locked="0"/>
    </xf>
    <xf numFmtId="165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6" fillId="6" borderId="10" xfId="1" applyFont="1" applyFill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  <protection locked="0"/>
    </xf>
    <xf numFmtId="2" fontId="8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  <protection locked="0"/>
    </xf>
    <xf numFmtId="2" fontId="6" fillId="0" borderId="2" xfId="1" applyNumberFormat="1" applyFont="1" applyFill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6" fillId="6" borderId="10" xfId="1" applyFont="1" applyFill="1" applyBorder="1" applyAlignment="1">
      <alignment horizontal="center" vertical="top"/>
    </xf>
    <xf numFmtId="165" fontId="6" fillId="4" borderId="1" xfId="1" applyNumberFormat="1" applyFont="1" applyFill="1" applyBorder="1" applyAlignment="1">
      <alignment horizontal="center" vertical="top"/>
    </xf>
    <xf numFmtId="2" fontId="6" fillId="4" borderId="1" xfId="1" applyNumberFormat="1" applyFont="1" applyFill="1" applyBorder="1" applyAlignment="1">
      <alignment horizontal="center" vertical="top"/>
    </xf>
    <xf numFmtId="0" fontId="17" fillId="0" borderId="1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2" fontId="0" fillId="0" borderId="0" xfId="0" applyNumberFormat="1"/>
    <xf numFmtId="2" fontId="0" fillId="0" borderId="1" xfId="0" applyNumberFormat="1" applyBorder="1" applyAlignment="1">
      <alignment vertical="center"/>
    </xf>
    <xf numFmtId="0" fontId="0" fillId="0" borderId="4" xfId="0" applyBorder="1"/>
    <xf numFmtId="0" fontId="0" fillId="0" borderId="3" xfId="0" applyBorder="1" applyAlignment="1"/>
    <xf numFmtId="0" fontId="0" fillId="0" borderId="4" xfId="0" applyBorder="1" applyAlignment="1"/>
    <xf numFmtId="2" fontId="0" fillId="0" borderId="1" xfId="0" applyNumberFormat="1" applyBorder="1" applyAlignment="1"/>
    <xf numFmtId="0" fontId="0" fillId="0" borderId="0" xfId="0" applyAlignment="1"/>
    <xf numFmtId="0" fontId="0" fillId="0" borderId="0" xfId="0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14" xfId="0" applyNumberFormat="1" applyBorder="1" applyAlignment="1"/>
    <xf numFmtId="2" fontId="0" fillId="0" borderId="13" xfId="0" applyNumberFormat="1" applyBorder="1" applyAlignment="1"/>
    <xf numFmtId="0" fontId="0" fillId="0" borderId="4" xfId="0" applyBorder="1" applyAlignment="1">
      <alignment vertical="center"/>
    </xf>
    <xf numFmtId="0" fontId="20" fillId="0" borderId="14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2" fontId="18" fillId="0" borderId="14" xfId="0" applyNumberFormat="1" applyFont="1" applyBorder="1" applyAlignment="1"/>
    <xf numFmtId="2" fontId="18" fillId="0" borderId="1" xfId="0" applyNumberFormat="1" applyFont="1" applyBorder="1" applyAlignment="1"/>
    <xf numFmtId="0" fontId="0" fillId="0" borderId="3" xfId="0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20" fillId="0" borderId="0" xfId="0" applyFont="1"/>
    <xf numFmtId="0" fontId="8" fillId="0" borderId="0" xfId="1" applyFont="1" applyFill="1" applyAlignment="1">
      <alignment horizontal="center" vertical="top" wrapText="1"/>
    </xf>
    <xf numFmtId="0" fontId="3" fillId="0" borderId="0" xfId="1" applyFont="1" applyAlignment="1">
      <alignment wrapText="1"/>
    </xf>
    <xf numFmtId="0" fontId="8" fillId="0" borderId="0" xfId="1" applyFont="1" applyAlignment="1">
      <alignment horizontal="center" vertical="top" wrapText="1"/>
    </xf>
    <xf numFmtId="2" fontId="8" fillId="0" borderId="0" xfId="1" applyNumberFormat="1" applyFont="1" applyAlignment="1">
      <alignment horizontal="center" vertical="top" wrapText="1"/>
    </xf>
    <xf numFmtId="2" fontId="15" fillId="0" borderId="1" xfId="1" applyNumberFormat="1" applyFont="1" applyBorder="1" applyAlignment="1">
      <alignment horizontal="center" vertical="top"/>
    </xf>
    <xf numFmtId="2" fontId="13" fillId="5" borderId="1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/>
    </xf>
    <xf numFmtId="0" fontId="8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wrapText="1"/>
    </xf>
    <xf numFmtId="4" fontId="0" fillId="0" borderId="0" xfId="0" applyNumberFormat="1"/>
    <xf numFmtId="0" fontId="6" fillId="6" borderId="2" xfId="1" applyFont="1" applyFill="1" applyBorder="1" applyAlignment="1">
      <alignment horizontal="center" vertical="top"/>
    </xf>
    <xf numFmtId="0" fontId="6" fillId="6" borderId="6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/>
    </xf>
    <xf numFmtId="165" fontId="8" fillId="0" borderId="5" xfId="1" applyNumberFormat="1" applyFont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8" fillId="5" borderId="1" xfId="1" applyNumberFormat="1" applyFont="1" applyFill="1" applyBorder="1" applyAlignment="1">
      <alignment horizontal="center" vertical="top" wrapText="1"/>
    </xf>
    <xf numFmtId="0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1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8" fillId="4" borderId="3" xfId="1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top" wrapText="1" shrinkToFit="1"/>
    </xf>
    <xf numFmtId="164" fontId="6" fillId="3" borderId="4" xfId="0" applyNumberFormat="1" applyFont="1" applyFill="1" applyBorder="1" applyAlignment="1" applyProtection="1">
      <alignment horizontal="center" vertical="top" wrapText="1" shrinkToFit="1"/>
    </xf>
    <xf numFmtId="0" fontId="6" fillId="6" borderId="2" xfId="1" applyFont="1" applyFill="1" applyBorder="1" applyAlignment="1">
      <alignment horizontal="center" vertical="top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5" xfId="1" applyFont="1" applyFill="1" applyBorder="1" applyAlignment="1">
      <alignment horizontal="center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9" fillId="4" borderId="3" xfId="0" applyNumberFormat="1" applyFont="1" applyFill="1" applyBorder="1" applyAlignment="1">
      <alignment horizontal="center" vertical="top" wrapText="1"/>
    </xf>
    <xf numFmtId="0" fontId="9" fillId="4" borderId="4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/>
    </xf>
    <xf numFmtId="2" fontId="8" fillId="0" borderId="5" xfId="1" applyNumberFormat="1" applyFont="1" applyBorder="1" applyAlignment="1">
      <alignment horizontal="center" vertical="top"/>
    </xf>
    <xf numFmtId="0" fontId="6" fillId="6" borderId="9" xfId="1" applyFont="1" applyFill="1" applyBorder="1" applyAlignment="1">
      <alignment horizontal="center" vertical="top"/>
    </xf>
    <xf numFmtId="0" fontId="6" fillId="6" borderId="12" xfId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8" fillId="0" borderId="12" xfId="1" applyFont="1" applyBorder="1" applyAlignment="1">
      <alignment horizontal="center" wrapText="1"/>
    </xf>
    <xf numFmtId="0" fontId="8" fillId="0" borderId="1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/>
    </xf>
    <xf numFmtId="0" fontId="13" fillId="3" borderId="4" xfId="0" applyFont="1" applyFill="1" applyBorder="1" applyAlignment="1">
      <alignment horizontal="center" vertical="top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6" fillId="5" borderId="3" xfId="0" applyNumberFormat="1" applyFont="1" applyFill="1" applyBorder="1" applyAlignment="1" applyProtection="1">
      <alignment horizontal="center" vertical="top" wrapText="1" shrinkToFit="1"/>
    </xf>
    <xf numFmtId="164" fontId="6" fillId="5" borderId="4" xfId="0" applyNumberFormat="1" applyFont="1" applyFill="1" applyBorder="1" applyAlignment="1" applyProtection="1">
      <alignment horizontal="center" vertical="top" wrapText="1" shrinkToFi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23" fillId="8" borderId="4" xfId="1" applyFont="1" applyFill="1" applyBorder="1" applyAlignment="1">
      <alignment horizontal="left" vertical="top" wrapText="1"/>
    </xf>
    <xf numFmtId="2" fontId="24" fillId="8" borderId="1" xfId="1" applyNumberFormat="1" applyFont="1" applyFill="1" applyBorder="1" applyAlignment="1">
      <alignment horizontal="center" vertical="top"/>
    </xf>
    <xf numFmtId="0" fontId="23" fillId="9" borderId="4" xfId="1" applyFont="1" applyFill="1" applyBorder="1" applyAlignment="1">
      <alignment horizontal="left" vertical="top" wrapText="1"/>
    </xf>
    <xf numFmtId="2" fontId="24" fillId="9" borderId="1" xfId="1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8" fillId="4" borderId="3" xfId="1" applyNumberFormat="1" applyFont="1" applyFill="1" applyBorder="1" applyAlignment="1">
      <alignment horizontal="left" vertical="top" wrapText="1"/>
    </xf>
    <xf numFmtId="0" fontId="8" fillId="4" borderId="4" xfId="1" applyNumberFormat="1" applyFont="1" applyFill="1" applyBorder="1" applyAlignment="1">
      <alignment horizontal="left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2" fontId="24" fillId="0" borderId="1" xfId="1" applyNumberFormat="1" applyFont="1" applyFill="1" applyBorder="1" applyAlignment="1">
      <alignment horizontal="center" vertical="top"/>
    </xf>
    <xf numFmtId="0" fontId="8" fillId="0" borderId="1" xfId="0" applyNumberFormat="1" applyFont="1" applyBorder="1" applyAlignment="1" applyProtection="1">
      <alignment horizontal="left" vertical="top" wrapText="1"/>
      <protection locked="0"/>
    </xf>
    <xf numFmtId="2" fontId="24" fillId="9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23" fillId="9" borderId="1" xfId="1" applyFont="1" applyFill="1" applyBorder="1" applyAlignment="1">
      <alignment horizontal="left" vertical="top" wrapText="1"/>
    </xf>
    <xf numFmtId="0" fontId="8" fillId="6" borderId="1" xfId="1" applyFont="1" applyFill="1" applyBorder="1" applyAlignment="1">
      <alignment horizontal="left" vertical="top" wrapText="1"/>
    </xf>
    <xf numFmtId="2" fontId="24" fillId="6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1" applyFont="1" applyFill="1" applyBorder="1" applyAlignment="1">
      <alignment vertical="top" wrapText="1"/>
    </xf>
    <xf numFmtId="0" fontId="6" fillId="6" borderId="1" xfId="1" applyFont="1" applyFill="1" applyBorder="1" applyAlignment="1">
      <alignment vertical="top" wrapText="1"/>
    </xf>
    <xf numFmtId="0" fontId="8" fillId="4" borderId="3" xfId="1" applyFont="1" applyFill="1" applyBorder="1" applyAlignment="1">
      <alignment horizontal="left" vertical="top" wrapText="1"/>
    </xf>
    <xf numFmtId="0" fontId="8" fillId="4" borderId="4" xfId="1" applyFont="1" applyFill="1" applyBorder="1" applyAlignment="1">
      <alignment horizontal="left" vertical="top" wrapText="1"/>
    </xf>
    <xf numFmtId="0" fontId="8" fillId="4" borderId="9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6" fillId="0" borderId="12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3" fillId="8" borderId="1" xfId="1" applyFont="1" applyFill="1" applyBorder="1" applyAlignment="1">
      <alignment horizontal="left" vertical="top" wrapText="1"/>
    </xf>
    <xf numFmtId="2" fontId="25" fillId="0" borderId="1" xfId="1" applyNumberFormat="1" applyFont="1" applyFill="1" applyBorder="1" applyAlignment="1">
      <alignment horizontal="center" vertical="top"/>
    </xf>
    <xf numFmtId="0" fontId="6" fillId="0" borderId="5" xfId="1" applyFont="1" applyBorder="1" applyAlignment="1">
      <alignment horizontal="left" vertical="top" wrapText="1"/>
    </xf>
    <xf numFmtId="2" fontId="8" fillId="8" borderId="1" xfId="1" applyNumberFormat="1" applyFont="1" applyFill="1" applyBorder="1" applyAlignment="1">
      <alignment horizontal="center" vertical="top"/>
    </xf>
    <xf numFmtId="2" fontId="26" fillId="0" borderId="1" xfId="1" applyNumberFormat="1" applyFont="1" applyFill="1" applyBorder="1" applyAlignment="1">
      <alignment horizontal="center" vertical="top"/>
    </xf>
    <xf numFmtId="164" fontId="6" fillId="5" borderId="3" xfId="0" applyNumberFormat="1" applyFont="1" applyFill="1" applyBorder="1" applyAlignment="1" applyProtection="1">
      <alignment horizontal="left" vertical="top" wrapText="1" shrinkToFit="1"/>
    </xf>
    <xf numFmtId="164" fontId="6" fillId="5" borderId="4" xfId="0" applyNumberFormat="1" applyFont="1" applyFill="1" applyBorder="1" applyAlignment="1" applyProtection="1">
      <alignment horizontal="left" vertical="top" wrapText="1" shrinkToFit="1"/>
    </xf>
    <xf numFmtId="2" fontId="15" fillId="5" borderId="1" xfId="1" applyNumberFormat="1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 shrinkToFit="1"/>
    </xf>
    <xf numFmtId="164" fontId="6" fillId="3" borderId="4" xfId="0" applyNumberFormat="1" applyFont="1" applyFill="1" applyBorder="1" applyAlignment="1" applyProtection="1">
      <alignment horizontal="left" vertical="top" wrapText="1" shrinkToFit="1"/>
    </xf>
    <xf numFmtId="0" fontId="8" fillId="4" borderId="1" xfId="1" applyFont="1" applyFill="1" applyBorder="1" applyAlignment="1">
      <alignment horizontal="center" vertical="top" wrapText="1"/>
    </xf>
    <xf numFmtId="0" fontId="24" fillId="0" borderId="1" xfId="1" applyFont="1" applyFill="1" applyBorder="1" applyAlignment="1">
      <alignment horizontal="center" vertical="top" wrapText="1"/>
    </xf>
    <xf numFmtId="0" fontId="24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vertical="top" wrapText="1"/>
    </xf>
    <xf numFmtId="2" fontId="13" fillId="4" borderId="1" xfId="1" applyNumberFormat="1" applyFont="1" applyFill="1" applyBorder="1" applyAlignment="1">
      <alignment horizontal="center" vertical="top"/>
    </xf>
    <xf numFmtId="0" fontId="8" fillId="4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top" wrapText="1"/>
    </xf>
    <xf numFmtId="0" fontId="23" fillId="0" borderId="1" xfId="1" applyFont="1" applyFill="1" applyBorder="1" applyAlignment="1">
      <alignment horizontal="center" vertical="top" wrapText="1"/>
    </xf>
    <xf numFmtId="49" fontId="6" fillId="2" borderId="3" xfId="1" applyNumberFormat="1" applyFont="1" applyFill="1" applyBorder="1" applyAlignment="1">
      <alignment horizontal="center" vertical="top"/>
    </xf>
    <xf numFmtId="49" fontId="6" fillId="2" borderId="1" xfId="1" applyNumberFormat="1" applyFont="1" applyFill="1" applyBorder="1" applyAlignment="1">
      <alignment horizontal="center" vertical="top"/>
    </xf>
    <xf numFmtId="0" fontId="8" fillId="4" borderId="1" xfId="1" applyNumberFormat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2" fontId="8" fillId="0" borderId="6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center" vertical="top" wrapText="1"/>
    </xf>
    <xf numFmtId="167" fontId="6" fillId="0" borderId="1" xfId="1" applyNumberFormat="1" applyFont="1" applyFill="1" applyBorder="1" applyAlignment="1">
      <alignment horizontal="center" vertical="top"/>
    </xf>
    <xf numFmtId="167" fontId="6" fillId="0" borderId="1" xfId="1" applyNumberFormat="1" applyFont="1" applyFill="1" applyBorder="1" applyAlignment="1">
      <alignment horizontal="center" vertical="top" wrapText="1"/>
    </xf>
    <xf numFmtId="2" fontId="24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2" fontId="8" fillId="0" borderId="1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2" fontId="8" fillId="0" borderId="2" xfId="1" applyNumberFormat="1" applyFont="1" applyFill="1" applyBorder="1" applyAlignment="1">
      <alignment horizontal="center" vertical="top"/>
    </xf>
    <xf numFmtId="2" fontId="8" fillId="0" borderId="2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wrapText="1"/>
    </xf>
    <xf numFmtId="0" fontId="15" fillId="0" borderId="1" xfId="1" applyFont="1" applyFill="1" applyBorder="1" applyAlignment="1">
      <alignment vertical="top" wrapText="1"/>
    </xf>
    <xf numFmtId="0" fontId="15" fillId="8" borderId="1" xfId="1" applyFont="1" applyFill="1" applyBorder="1" applyAlignment="1">
      <alignment horizontal="left" vertical="top" wrapText="1"/>
    </xf>
    <xf numFmtId="0" fontId="15" fillId="9" borderId="1" xfId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top" wrapText="1"/>
    </xf>
    <xf numFmtId="0" fontId="8" fillId="4" borderId="5" xfId="1" applyNumberFormat="1" applyFont="1" applyFill="1" applyBorder="1" applyAlignment="1">
      <alignment horizontal="center" vertical="top" wrapText="1"/>
    </xf>
    <xf numFmtId="0" fontId="8" fillId="8" borderId="2" xfId="1" applyNumberFormat="1" applyFont="1" applyFill="1" applyBorder="1" applyAlignment="1">
      <alignment horizontal="left" vertical="top" wrapText="1"/>
    </xf>
    <xf numFmtId="2" fontId="8" fillId="8" borderId="2" xfId="1" applyNumberFormat="1" applyFont="1" applyFill="1" applyBorder="1" applyAlignment="1">
      <alignment horizontal="center" vertical="top"/>
    </xf>
    <xf numFmtId="0" fontId="8" fillId="11" borderId="2" xfId="1" applyNumberFormat="1" applyFont="1" applyFill="1" applyBorder="1" applyAlignment="1">
      <alignment horizontal="left" vertical="top" wrapText="1"/>
    </xf>
    <xf numFmtId="2" fontId="8" fillId="11" borderId="2" xfId="1" applyNumberFormat="1" applyFont="1" applyFill="1" applyBorder="1" applyAlignment="1">
      <alignment horizontal="center" vertical="top"/>
    </xf>
    <xf numFmtId="0" fontId="8" fillId="9" borderId="2" xfId="1" applyNumberFormat="1" applyFont="1" applyFill="1" applyBorder="1" applyAlignment="1">
      <alignment horizontal="left" vertical="top" wrapText="1"/>
    </xf>
    <xf numFmtId="2" fontId="8" fillId="9" borderId="2" xfId="1" applyNumberFormat="1" applyFont="1" applyFill="1" applyBorder="1" applyAlignment="1">
      <alignment horizontal="center" vertical="top"/>
    </xf>
    <xf numFmtId="0" fontId="8" fillId="0" borderId="2" xfId="1" applyNumberFormat="1" applyFont="1" applyFill="1" applyBorder="1" applyAlignment="1">
      <alignment horizontal="left" vertical="top" wrapText="1"/>
    </xf>
    <xf numFmtId="0" fontId="8" fillId="4" borderId="2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center" vertical="top"/>
    </xf>
    <xf numFmtId="49" fontId="6" fillId="0" borderId="5" xfId="1" applyNumberFormat="1" applyFont="1" applyFill="1" applyBorder="1" applyAlignment="1">
      <alignment horizontal="center" vertical="top"/>
    </xf>
    <xf numFmtId="0" fontId="8" fillId="0" borderId="4" xfId="0" applyNumberFormat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>
      <alignment horizontal="left" vertical="top" wrapText="1"/>
    </xf>
    <xf numFmtId="0" fontId="8" fillId="0" borderId="4" xfId="1" applyFont="1" applyFill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left" vertical="top" wrapText="1"/>
    </xf>
    <xf numFmtId="0" fontId="9" fillId="0" borderId="4" xfId="0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6" xfId="1" applyFont="1" applyFill="1" applyBorder="1" applyAlignment="1">
      <alignment horizontal="center" vertical="top" wrapText="1"/>
    </xf>
    <xf numFmtId="0" fontId="13" fillId="10" borderId="3" xfId="0" applyFont="1" applyFill="1" applyBorder="1" applyAlignment="1">
      <alignment horizontal="center" vertical="top"/>
    </xf>
    <xf numFmtId="0" fontId="13" fillId="10" borderId="4" xfId="0" applyFont="1" applyFill="1" applyBorder="1" applyAlignment="1">
      <alignment horizontal="center" vertical="top"/>
    </xf>
    <xf numFmtId="2" fontId="0" fillId="0" borderId="14" xfId="0" applyNumberFormat="1" applyFill="1" applyBorder="1" applyAlignment="1">
      <alignment vertical="center"/>
    </xf>
    <xf numFmtId="2" fontId="0" fillId="0" borderId="13" xfId="0" applyNumberFormat="1" applyFill="1" applyBorder="1" applyAlignment="1">
      <alignment vertical="center"/>
    </xf>
    <xf numFmtId="2" fontId="0" fillId="0" borderId="14" xfId="0" applyNumberFormat="1" applyFill="1" applyBorder="1" applyAlignment="1"/>
    <xf numFmtId="2" fontId="0" fillId="0" borderId="1" xfId="0" applyNumberFormat="1" applyFill="1" applyBorder="1" applyAlignment="1"/>
    <xf numFmtId="2" fontId="0" fillId="0" borderId="13" xfId="0" applyNumberFormat="1" applyFill="1" applyBorder="1" applyAlignment="1"/>
    <xf numFmtId="2" fontId="0" fillId="0" borderId="1" xfId="0" applyNumberFormat="1" applyFill="1" applyBorder="1" applyAlignment="1">
      <alignment vertical="center"/>
    </xf>
    <xf numFmtId="2" fontId="18" fillId="0" borderId="14" xfId="0" applyNumberFormat="1" applyFont="1" applyFill="1" applyBorder="1" applyAlignment="1"/>
    <xf numFmtId="2" fontId="18" fillId="0" borderId="13" xfId="0" applyNumberFormat="1" applyFont="1" applyFill="1" applyBorder="1" applyAlignment="1"/>
    <xf numFmtId="2" fontId="18" fillId="0" borderId="1" xfId="0" applyNumberFormat="1" applyFont="1" applyFill="1" applyBorder="1" applyAlignmen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colors>
    <mruColors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5"/>
  <sheetViews>
    <sheetView view="pageBreakPreview" topLeftCell="A55" zoomScale="60" zoomScaleNormal="60" workbookViewId="0">
      <selection activeCell="A55" sqref="A55:A5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5" width="37.5703125" style="1" customWidth="1"/>
    <col min="6" max="6" width="32" style="1" customWidth="1"/>
    <col min="7" max="7" width="20.7109375" style="1" customWidth="1"/>
    <col min="8" max="222" width="8.85546875" style="1" customWidth="1"/>
    <col min="223" max="223" width="2.5703125" style="1" customWidth="1"/>
    <col min="224" max="224" width="46.85546875" style="1" customWidth="1"/>
    <col min="225" max="225" width="13.7109375" style="1" customWidth="1"/>
    <col min="226" max="232" width="0" style="1" hidden="1" customWidth="1"/>
    <col min="233" max="233" width="15.28515625" style="1" customWidth="1"/>
    <col min="234" max="16384" width="0" style="1" hidden="1"/>
  </cols>
  <sheetData>
    <row r="1" spans="1:6" ht="27.4" customHeight="1">
      <c r="C1" s="5" t="s">
        <v>4</v>
      </c>
    </row>
    <row r="2" spans="1:6" s="6" customFormat="1" ht="44.65" customHeight="1">
      <c r="A2" s="145"/>
      <c r="B2" s="172" t="s">
        <v>0</v>
      </c>
      <c r="C2" s="173"/>
      <c r="D2" s="168" t="s">
        <v>14</v>
      </c>
      <c r="E2" s="170" t="s">
        <v>84</v>
      </c>
      <c r="F2" s="149" t="s">
        <v>59</v>
      </c>
    </row>
    <row r="3" spans="1:6" s="6" customFormat="1" ht="58.5" customHeight="1">
      <c r="A3" s="146"/>
      <c r="B3" s="174"/>
      <c r="C3" s="175"/>
      <c r="D3" s="169"/>
      <c r="E3" s="171"/>
      <c r="F3" s="150"/>
    </row>
    <row r="4" spans="1:6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151" t="s">
        <v>60</v>
      </c>
    </row>
    <row r="5" spans="1:6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152"/>
    </row>
    <row r="6" spans="1:6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152"/>
    </row>
    <row r="7" spans="1:6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153"/>
    </row>
    <row r="8" spans="1:6" s="10" customFormat="1" ht="27.75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E9+E10++E11+E12+E13</f>
        <v>934075828.82000005</v>
      </c>
      <c r="F8" s="151" t="s">
        <v>61</v>
      </c>
    </row>
    <row r="9" spans="1:6" s="10" customFormat="1" ht="28.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152"/>
    </row>
    <row r="10" spans="1:6" s="10" customFormat="1" ht="27.7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152"/>
    </row>
    <row r="11" spans="1:6" s="10" customFormat="1" ht="27.7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152"/>
    </row>
    <row r="12" spans="1:6" s="10" customFormat="1" ht="25.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152"/>
    </row>
    <row r="13" spans="1:6" s="10" customFormat="1" ht="25.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153"/>
    </row>
    <row r="14" spans="1:6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154" t="s">
        <v>62</v>
      </c>
    </row>
    <row r="15" spans="1:6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155"/>
    </row>
    <row r="16" spans="1:6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155"/>
    </row>
    <row r="17" spans="1:7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155"/>
    </row>
    <row r="18" spans="1:7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155"/>
    </row>
    <row r="19" spans="1:7" s="10" customFormat="1" ht="52.5" customHeight="1">
      <c r="A19" s="133"/>
      <c r="B19" s="153"/>
      <c r="C19" s="7" t="s">
        <v>16</v>
      </c>
      <c r="D19" s="12">
        <v>150000</v>
      </c>
      <c r="E19" s="12">
        <v>150000</v>
      </c>
      <c r="F19" s="156"/>
    </row>
    <row r="20" spans="1:7" s="17" customFormat="1">
      <c r="A20" s="30">
        <v>4</v>
      </c>
      <c r="B20" s="188" t="s">
        <v>45</v>
      </c>
      <c r="C20" s="189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49"/>
    </row>
    <row r="21" spans="1:7" s="17" customFormat="1">
      <c r="A21" s="33"/>
      <c r="B21" s="163" t="s">
        <v>12</v>
      </c>
      <c r="C21" s="164"/>
      <c r="D21" s="19"/>
      <c r="E21" s="19"/>
      <c r="F21" s="49"/>
    </row>
    <row r="22" spans="1:7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49" t="s">
        <v>64</v>
      </c>
    </row>
    <row r="23" spans="1:7" s="17" customFormat="1" ht="102.75" customHeight="1">
      <c r="A23" s="33"/>
      <c r="B23" s="184" t="s">
        <v>65</v>
      </c>
      <c r="C23" s="185"/>
      <c r="D23" s="43">
        <v>95500</v>
      </c>
      <c r="E23" s="14">
        <v>95500</v>
      </c>
      <c r="F23" s="49" t="s">
        <v>66</v>
      </c>
    </row>
    <row r="24" spans="1:7" s="17" customFormat="1" ht="61.5" customHeight="1">
      <c r="A24" s="33"/>
      <c r="B24" s="184" t="s">
        <v>24</v>
      </c>
      <c r="C24" s="185"/>
      <c r="D24" s="14">
        <f>91500+70000+484000</f>
        <v>645500</v>
      </c>
      <c r="E24" s="14">
        <f>91500+20300+483896.7</f>
        <v>595696.69999999995</v>
      </c>
      <c r="F24" s="49"/>
    </row>
    <row r="25" spans="1:7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11" t="s">
        <v>67</v>
      </c>
      <c r="G25" s="20"/>
    </row>
    <row r="26" spans="1:7" s="17" customFormat="1" ht="83.25" customHeight="1">
      <c r="A26" s="33"/>
      <c r="B26" s="161" t="s">
        <v>18</v>
      </c>
      <c r="C26" s="162"/>
      <c r="D26" s="28">
        <v>4637300</v>
      </c>
      <c r="E26" s="28">
        <f>4029000+608300</f>
        <v>4637300</v>
      </c>
      <c r="F26" s="11" t="s">
        <v>68</v>
      </c>
      <c r="G26" s="10"/>
    </row>
    <row r="27" spans="1:7" s="10" customFormat="1" ht="84" customHeight="1">
      <c r="A27" s="38"/>
      <c r="B27" s="165" t="s">
        <v>38</v>
      </c>
      <c r="C27" s="166"/>
      <c r="D27" s="42">
        <v>5502864</v>
      </c>
      <c r="E27" s="42">
        <v>5485853.5999999996</v>
      </c>
      <c r="F27" s="13"/>
    </row>
    <row r="28" spans="1:7" s="10" customFormat="1" ht="65.25" customHeight="1">
      <c r="A28" s="46"/>
      <c r="B28" s="131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13"/>
    </row>
    <row r="29" spans="1:7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11" t="s">
        <v>69</v>
      </c>
    </row>
    <row r="30" spans="1:7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13"/>
    </row>
    <row r="31" spans="1:7" s="10" customFormat="1" ht="42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11" t="s">
        <v>70</v>
      </c>
    </row>
    <row r="32" spans="1:7" s="10" customFormat="1" ht="42" customHeight="1">
      <c r="A32" s="47"/>
      <c r="B32" s="132"/>
      <c r="C32" s="15" t="s">
        <v>28</v>
      </c>
      <c r="D32" s="35">
        <v>12738000</v>
      </c>
      <c r="E32" s="13">
        <v>12738000</v>
      </c>
      <c r="F32" s="11" t="s">
        <v>71</v>
      </c>
    </row>
    <row r="33" spans="1:6" s="10" customFormat="1" ht="42" customHeight="1">
      <c r="A33" s="47"/>
      <c r="B33" s="132"/>
      <c r="C33" s="23" t="s">
        <v>30</v>
      </c>
      <c r="D33" s="24">
        <v>9152800</v>
      </c>
      <c r="E33" s="36">
        <v>8702567.5</v>
      </c>
      <c r="F33" s="11" t="s">
        <v>72</v>
      </c>
    </row>
    <row r="34" spans="1:6" s="10" customFormat="1" ht="56.25">
      <c r="A34" s="48"/>
      <c r="B34" s="133"/>
      <c r="C34" s="23" t="s">
        <v>29</v>
      </c>
      <c r="D34" s="24">
        <v>39812000</v>
      </c>
      <c r="E34" s="36">
        <v>38602489.630000003</v>
      </c>
      <c r="F34" s="11" t="s">
        <v>73</v>
      </c>
    </row>
    <row r="35" spans="1:6" s="10" customFormat="1" ht="63.75" customHeight="1">
      <c r="A35" s="32"/>
      <c r="B35" s="161" t="s">
        <v>39</v>
      </c>
      <c r="C35" s="162"/>
      <c r="D35" s="28">
        <v>2912300</v>
      </c>
      <c r="E35" s="28">
        <v>2899022.56</v>
      </c>
      <c r="F35" s="50" t="s">
        <v>74</v>
      </c>
    </row>
    <row r="36" spans="1:6" s="10" customFormat="1" ht="86.25" customHeight="1">
      <c r="A36" s="131"/>
      <c r="B36" s="165" t="s">
        <v>40</v>
      </c>
      <c r="C36" s="166"/>
      <c r="D36" s="28">
        <f>13004200+D37+D39</f>
        <v>321082200</v>
      </c>
      <c r="E36" s="28">
        <f>E37+E39+12824804.28</f>
        <v>240324804.28</v>
      </c>
      <c r="F36" s="11" t="s">
        <v>75</v>
      </c>
    </row>
    <row r="37" spans="1:6" s="10" customFormat="1" ht="30" customHeight="1">
      <c r="A37" s="132"/>
      <c r="B37" s="143" t="s">
        <v>12</v>
      </c>
      <c r="C37" s="151" t="s">
        <v>55</v>
      </c>
      <c r="D37" s="134">
        <v>5000000</v>
      </c>
      <c r="E37" s="134">
        <v>5000000</v>
      </c>
      <c r="F37" s="151"/>
    </row>
    <row r="38" spans="1:6" s="10" customFormat="1" ht="33" customHeight="1">
      <c r="A38" s="132"/>
      <c r="B38" s="167"/>
      <c r="C38" s="153"/>
      <c r="D38" s="135"/>
      <c r="E38" s="135"/>
      <c r="F38" s="153"/>
    </row>
    <row r="39" spans="1:6" s="10" customFormat="1" ht="37.5">
      <c r="A39" s="133"/>
      <c r="B39" s="144"/>
      <c r="C39" s="11" t="s">
        <v>23</v>
      </c>
      <c r="D39" s="12">
        <f>60500000+242578000</f>
        <v>303078000</v>
      </c>
      <c r="E39" s="12">
        <f>60500000+162000000</f>
        <v>222500000</v>
      </c>
      <c r="F39" s="11" t="s">
        <v>76</v>
      </c>
    </row>
    <row r="40" spans="1:6" s="10" customFormat="1" ht="86.25" customHeight="1">
      <c r="A40" s="131"/>
      <c r="B40" s="161" t="s">
        <v>41</v>
      </c>
      <c r="C40" s="162"/>
      <c r="D40" s="28">
        <f>2120000+160000+117000+72000</f>
        <v>2469000</v>
      </c>
      <c r="E40" s="28">
        <f>2120000+160000+117000+72000</f>
        <v>2469000</v>
      </c>
      <c r="F40" s="11"/>
    </row>
    <row r="41" spans="1:6" s="10" customFormat="1" ht="42.75" customHeight="1">
      <c r="A41" s="132"/>
      <c r="B41" s="131" t="s">
        <v>44</v>
      </c>
      <c r="C41" s="11" t="s">
        <v>26</v>
      </c>
      <c r="D41" s="12">
        <v>100375000</v>
      </c>
      <c r="E41" s="12">
        <v>100375000</v>
      </c>
      <c r="F41" s="13"/>
    </row>
    <row r="42" spans="1:6" s="10" customFormat="1" ht="37.5">
      <c r="A42" s="132"/>
      <c r="B42" s="132"/>
      <c r="C42" s="11" t="s">
        <v>8</v>
      </c>
      <c r="D42" s="12">
        <v>15000</v>
      </c>
      <c r="E42" s="12">
        <v>0</v>
      </c>
      <c r="F42" s="13"/>
    </row>
    <row r="43" spans="1:6" s="10" customFormat="1" ht="37.5">
      <c r="A43" s="132"/>
      <c r="B43" s="132"/>
      <c r="C43" s="11" t="s">
        <v>9</v>
      </c>
      <c r="D43" s="12">
        <v>600000</v>
      </c>
      <c r="E43" s="12">
        <v>600000</v>
      </c>
      <c r="F43" s="13"/>
    </row>
    <row r="44" spans="1:6" s="10" customFormat="1" ht="56.25">
      <c r="A44" s="132"/>
      <c r="B44" s="132"/>
      <c r="C44" s="23" t="s">
        <v>20</v>
      </c>
      <c r="D44" s="12">
        <f>221495400+183735800</f>
        <v>405231200</v>
      </c>
      <c r="E44" s="12">
        <f>221495400+183735800</f>
        <v>405231200</v>
      </c>
      <c r="F44" s="11" t="s">
        <v>77</v>
      </c>
    </row>
    <row r="45" spans="1:6" s="10" customFormat="1" ht="37.5">
      <c r="A45" s="132"/>
      <c r="B45" s="132"/>
      <c r="C45" s="22" t="s">
        <v>10</v>
      </c>
      <c r="D45" s="12">
        <f>44300+1000</f>
        <v>45300</v>
      </c>
      <c r="E45" s="12">
        <v>0</v>
      </c>
      <c r="F45" s="11" t="s">
        <v>78</v>
      </c>
    </row>
    <row r="46" spans="1:6" s="10" customFormat="1" ht="46.5" customHeight="1">
      <c r="A46" s="132"/>
      <c r="B46" s="132"/>
      <c r="C46" s="22" t="s">
        <v>56</v>
      </c>
      <c r="D46" s="12">
        <f>38313700+13169600</f>
        <v>51483300</v>
      </c>
      <c r="E46" s="12">
        <f>38313700+13169600</f>
        <v>51483300</v>
      </c>
      <c r="F46" s="11" t="s">
        <v>79</v>
      </c>
    </row>
    <row r="47" spans="1:6" s="10" customFormat="1" ht="93.75">
      <c r="A47" s="132"/>
      <c r="B47" s="132"/>
      <c r="C47" s="34" t="s">
        <v>34</v>
      </c>
      <c r="D47" s="13">
        <v>38100</v>
      </c>
      <c r="E47" s="36">
        <v>12855.37</v>
      </c>
      <c r="F47" s="11" t="s">
        <v>80</v>
      </c>
    </row>
    <row r="48" spans="1:6" s="10" customFormat="1" ht="112.5">
      <c r="A48" s="132"/>
      <c r="B48" s="132"/>
      <c r="C48" s="34" t="s">
        <v>35</v>
      </c>
      <c r="D48" s="24">
        <v>4036300</v>
      </c>
      <c r="E48" s="36">
        <v>3469266.14</v>
      </c>
      <c r="F48" s="11" t="s">
        <v>81</v>
      </c>
    </row>
    <row r="49" spans="1:6" s="10" customFormat="1" ht="131.25">
      <c r="A49" s="133"/>
      <c r="B49" s="133"/>
      <c r="C49" s="34" t="s">
        <v>36</v>
      </c>
      <c r="D49" s="24">
        <v>188484500</v>
      </c>
      <c r="E49" s="36">
        <v>188484500</v>
      </c>
      <c r="F49" s="11" t="s">
        <v>82</v>
      </c>
    </row>
    <row r="50" spans="1:6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13"/>
    </row>
    <row r="51" spans="1:6" s="26" customFormat="1" ht="37.5" hidden="1">
      <c r="A51" s="33"/>
      <c r="B51" s="33"/>
      <c r="C51" s="25" t="s">
        <v>2</v>
      </c>
      <c r="D51" s="19"/>
      <c r="E51" s="19"/>
      <c r="F51" s="18"/>
    </row>
    <row r="52" spans="1:6" s="26" customFormat="1" ht="33.6" hidden="1" customHeight="1">
      <c r="A52" s="33"/>
      <c r="B52" s="33"/>
      <c r="C52" s="25" t="s">
        <v>3</v>
      </c>
      <c r="D52" s="19"/>
      <c r="E52" s="19"/>
      <c r="F52" s="18"/>
    </row>
    <row r="53" spans="1:6" s="10" customFormat="1" ht="33.6" hidden="1" customHeight="1">
      <c r="A53" s="32"/>
      <c r="B53" s="32"/>
      <c r="C53" s="27"/>
      <c r="D53" s="12"/>
      <c r="E53" s="12"/>
      <c r="F53" s="13"/>
    </row>
    <row r="54" spans="1:6" s="10" customFormat="1" ht="32.450000000000003" hidden="1" customHeight="1">
      <c r="A54" s="32"/>
      <c r="B54" s="32"/>
      <c r="C54" s="27"/>
      <c r="D54" s="12"/>
      <c r="E54" s="28"/>
      <c r="F54" s="13"/>
    </row>
    <row r="55" spans="1:6" s="10" customFormat="1" ht="38.25" customHeight="1">
      <c r="A55" s="136">
        <v>5</v>
      </c>
      <c r="B55" s="141" t="s">
        <v>57</v>
      </c>
      <c r="C55" s="142"/>
      <c r="D55" s="9">
        <f>D56+D57</f>
        <v>3883000</v>
      </c>
      <c r="E55" s="9">
        <f>E56+E57</f>
        <v>3806592.5</v>
      </c>
      <c r="F55" s="157"/>
    </row>
    <row r="56" spans="1:6" s="10" customFormat="1" ht="52.15" customHeight="1">
      <c r="A56" s="137"/>
      <c r="B56" s="143" t="s">
        <v>12</v>
      </c>
      <c r="C56" s="23" t="s">
        <v>32</v>
      </c>
      <c r="D56" s="12">
        <v>2881300</v>
      </c>
      <c r="E56" s="36">
        <v>2805176.5</v>
      </c>
      <c r="F56" s="158"/>
    </row>
    <row r="57" spans="1:6" s="10" customFormat="1" ht="100.5" customHeight="1">
      <c r="A57" s="138"/>
      <c r="B57" s="144"/>
      <c r="C57" s="15" t="s">
        <v>33</v>
      </c>
      <c r="D57" s="24">
        <v>1001700</v>
      </c>
      <c r="E57" s="36">
        <v>1001416</v>
      </c>
      <c r="F57" s="159"/>
    </row>
    <row r="58" spans="1:6" s="10" customFormat="1" ht="66.75" customHeight="1">
      <c r="A58" s="38">
        <v>6</v>
      </c>
      <c r="B58" s="141" t="s">
        <v>22</v>
      </c>
      <c r="C58" s="142"/>
      <c r="D58" s="9">
        <v>33309103</v>
      </c>
      <c r="E58" s="9">
        <v>33309102.949999999</v>
      </c>
      <c r="F58" s="13"/>
    </row>
    <row r="59" spans="1:6" s="10" customFormat="1" ht="144" customHeight="1">
      <c r="A59" s="39">
        <v>7</v>
      </c>
      <c r="B59" s="139" t="s">
        <v>43</v>
      </c>
      <c r="C59" s="139"/>
      <c r="D59" s="40">
        <v>3152500</v>
      </c>
      <c r="E59" s="40">
        <v>3130229.34</v>
      </c>
      <c r="F59" s="13"/>
    </row>
    <row r="60" spans="1:6" s="10" customFormat="1" ht="68.25" customHeight="1">
      <c r="A60" s="39">
        <v>8</v>
      </c>
      <c r="B60" s="140" t="s">
        <v>19</v>
      </c>
      <c r="C60" s="140"/>
      <c r="D60" s="41">
        <v>2633900</v>
      </c>
      <c r="E60" s="41">
        <v>1740839.97</v>
      </c>
      <c r="F60" s="11" t="s">
        <v>83</v>
      </c>
    </row>
    <row r="61" spans="1:6" s="10" customFormat="1" ht="60" customHeight="1">
      <c r="A61" s="39">
        <v>9</v>
      </c>
      <c r="B61" s="160" t="s">
        <v>27</v>
      </c>
      <c r="C61" s="160"/>
      <c r="D61" s="41">
        <v>100000</v>
      </c>
      <c r="E61" s="41">
        <v>100000</v>
      </c>
      <c r="F61" s="13"/>
    </row>
    <row r="62" spans="1:6" s="10" customFormat="1">
      <c r="A62" s="31"/>
      <c r="B62" s="147" t="s">
        <v>58</v>
      </c>
      <c r="C62" s="148"/>
      <c r="D62" s="45">
        <f>D4+D8+D14+D20+D55+D58+D59+D60+D61</f>
        <v>2547532847.8000002</v>
      </c>
      <c r="E62" s="45">
        <f>E4+E8+E14+E20+E55+E58+E59+E60+E61</f>
        <v>2459178897.9599996</v>
      </c>
      <c r="F62" s="13"/>
    </row>
    <row r="63" spans="1:6" s="10" customFormat="1">
      <c r="C63" s="29"/>
    </row>
    <row r="64" spans="1:6" s="10" customFormat="1"/>
    <row r="65" spans="3:3" s="10" customFormat="1"/>
    <row r="76" spans="3:3">
      <c r="C76" s="4"/>
    </row>
    <row r="78" spans="3:3">
      <c r="C78" s="4"/>
    </row>
    <row r="675" spans="5:5">
      <c r="E675" s="2"/>
    </row>
  </sheetData>
  <mergeCells count="45">
    <mergeCell ref="D2:D3"/>
    <mergeCell ref="E2:E3"/>
    <mergeCell ref="B2:C3"/>
    <mergeCell ref="B35:C35"/>
    <mergeCell ref="B4:C4"/>
    <mergeCell ref="B8:C8"/>
    <mergeCell ref="B5:B7"/>
    <mergeCell ref="B9:B13"/>
    <mergeCell ref="B15:B19"/>
    <mergeCell ref="B27:C27"/>
    <mergeCell ref="B26:C26"/>
    <mergeCell ref="B25:C25"/>
    <mergeCell ref="B24:C24"/>
    <mergeCell ref="B23:C23"/>
    <mergeCell ref="B22:C22"/>
    <mergeCell ref="B20:C20"/>
    <mergeCell ref="B21:C21"/>
    <mergeCell ref="B28:B34"/>
    <mergeCell ref="B36:C36"/>
    <mergeCell ref="B37:B39"/>
    <mergeCell ref="C37:C38"/>
    <mergeCell ref="A2:A3"/>
    <mergeCell ref="B62:C62"/>
    <mergeCell ref="F2:F3"/>
    <mergeCell ref="F4:F7"/>
    <mergeCell ref="F8:F13"/>
    <mergeCell ref="F14:F19"/>
    <mergeCell ref="F37:F38"/>
    <mergeCell ref="F55:F57"/>
    <mergeCell ref="E37:E38"/>
    <mergeCell ref="A14:A19"/>
    <mergeCell ref="A8:A13"/>
    <mergeCell ref="A4:A7"/>
    <mergeCell ref="B61:C61"/>
    <mergeCell ref="A40:A49"/>
    <mergeCell ref="B40:C40"/>
    <mergeCell ref="B41:B49"/>
    <mergeCell ref="A36:A39"/>
    <mergeCell ref="D37:D38"/>
    <mergeCell ref="A55:A57"/>
    <mergeCell ref="B59:C59"/>
    <mergeCell ref="B60:C60"/>
    <mergeCell ref="B55:C55"/>
    <mergeCell ref="B56:B57"/>
    <mergeCell ref="B58:C58"/>
  </mergeCells>
  <pageMargins left="0.15748031496062992" right="0.15748031496062992" top="0.19685039370078741" bottom="0.19685039370078741" header="0.15748031496062992" footer="0.15748031496062992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D1" zoomScale="60" zoomScaleNormal="60" workbookViewId="0">
      <selection activeCell="D63" sqref="D63:H63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45"/>
      <c r="B2" s="172" t="s">
        <v>0</v>
      </c>
      <c r="C2" s="173"/>
      <c r="D2" s="168" t="s">
        <v>14</v>
      </c>
      <c r="E2" s="170" t="s">
        <v>84</v>
      </c>
      <c r="F2" s="168" t="s">
        <v>85</v>
      </c>
      <c r="G2" s="168" t="s">
        <v>99</v>
      </c>
      <c r="H2" s="170" t="s">
        <v>86</v>
      </c>
      <c r="I2" s="149" t="s">
        <v>59</v>
      </c>
    </row>
    <row r="3" spans="1:9" s="6" customFormat="1" ht="105" customHeight="1">
      <c r="A3" s="146"/>
      <c r="B3" s="174"/>
      <c r="C3" s="175"/>
      <c r="D3" s="169"/>
      <c r="E3" s="171"/>
      <c r="F3" s="169"/>
      <c r="G3" s="169"/>
      <c r="H3" s="171"/>
      <c r="I3" s="150"/>
    </row>
    <row r="4" spans="1:9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51">
        <f>F5+F6+F7</f>
        <v>40670000</v>
      </c>
      <c r="G4" s="51">
        <f>G5+G6+G7</f>
        <v>40935900</v>
      </c>
      <c r="H4" s="51">
        <f>H5+H6+H7</f>
        <v>17152878.32</v>
      </c>
      <c r="I4" s="151" t="s">
        <v>60</v>
      </c>
    </row>
    <row r="5" spans="1:9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v>31470200</v>
      </c>
      <c r="H5" s="35">
        <v>13256762.300000001</v>
      </c>
      <c r="I5" s="152"/>
    </row>
    <row r="6" spans="1:9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v>744092.47</v>
      </c>
      <c r="I6" s="152"/>
    </row>
    <row r="7" spans="1:9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v>3152023.55</v>
      </c>
      <c r="I7" s="153"/>
    </row>
    <row r="8" spans="1:9" s="10" customFormat="1" ht="27.75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E9+E10+E11+E12+E13</f>
        <v>934075828.82000005</v>
      </c>
      <c r="F8" s="51">
        <f>F9+F10+F11+F12+F13</f>
        <v>942386600</v>
      </c>
      <c r="G8" s="51">
        <f>G9+G10+G11+G12+G13</f>
        <v>947336100</v>
      </c>
      <c r="H8" s="51">
        <f>H9+H10+H11+H12+H13</f>
        <v>390373826.87</v>
      </c>
      <c r="I8" s="151" t="s">
        <v>61</v>
      </c>
    </row>
    <row r="9" spans="1:9" s="10" customFormat="1" ht="28.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8330969.68+2495334.13+284931631</f>
        <v>295757934.81</v>
      </c>
      <c r="I9" s="152"/>
    </row>
    <row r="10" spans="1:9" s="10" customFormat="1" ht="27.7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130000+108300+10000+53562576.35</f>
        <v>53810876.350000001</v>
      </c>
      <c r="I10" s="152"/>
    </row>
    <row r="11" spans="1:9" s="10" customFormat="1" ht="27.7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v>28537992</v>
      </c>
      <c r="I11" s="152"/>
    </row>
    <row r="12" spans="1:9" s="10" customFormat="1" ht="25.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55">
        <f>755800+7236200</f>
        <v>7992000</v>
      </c>
      <c r="G12" s="55">
        <f>755800+7236200</f>
        <v>7992000</v>
      </c>
      <c r="H12" s="55">
        <v>2849094</v>
      </c>
      <c r="I12" s="152"/>
    </row>
    <row r="13" spans="1:9" s="10" customFormat="1" ht="25.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v>9417929.7100000009</v>
      </c>
      <c r="I13" s="153"/>
    </row>
    <row r="14" spans="1:9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51">
        <f>F15+F16+F17+F18+F19</f>
        <v>70238900</v>
      </c>
      <c r="G14" s="51">
        <f>G15+G16+G17+G18+G19</f>
        <v>70238900</v>
      </c>
      <c r="H14" s="51">
        <f>H15+H16+H17+H18+H19</f>
        <v>26946339.149999999</v>
      </c>
      <c r="I14" s="154" t="s">
        <v>62</v>
      </c>
    </row>
    <row r="15" spans="1:9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16808143.72+4931340.33</f>
        <v>21739484.049999997</v>
      </c>
      <c r="I15" s="155"/>
    </row>
    <row r="16" spans="1:9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1588107.24+537516.64+26696.81</f>
        <v>2152320.69</v>
      </c>
      <c r="I16" s="155"/>
    </row>
    <row r="17" spans="1:10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v>3054534.41</v>
      </c>
      <c r="I17" s="155"/>
    </row>
    <row r="18" spans="1:10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55"/>
    </row>
    <row r="19" spans="1:10" s="10" customFormat="1" ht="52.5" customHeight="1">
      <c r="A19" s="133"/>
      <c r="B19" s="15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56"/>
    </row>
    <row r="20" spans="1:10" s="17" customFormat="1">
      <c r="A20" s="30">
        <v>4</v>
      </c>
      <c r="B20" s="188" t="s">
        <v>45</v>
      </c>
      <c r="C20" s="189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51">
        <f>F22+F23+F24+F25+F26+F27+F35+F36+F40+F41+F42+F43+F44+F45+F46+F47+F48+F49+F28+F29+F30+F31+F32+F33+F34</f>
        <v>1117233800</v>
      </c>
      <c r="G20" s="51">
        <f>G22+G23+G24+G25+G26+G27+G35+G36+G40+G41+G42+G43+G44+G45+G46+G47+G48+G49+G28+G29+G30+G31+G32+G33+G34</f>
        <v>1280042240</v>
      </c>
      <c r="H20" s="51">
        <f>H22+H23+H24+H25+H26+H27+H35+H36+H40+H41+H42+H43+H44+H45+H46+H47+H48+H49+H28+H29+H30+H31+H32+H33+H34</f>
        <v>523705793.94999999</v>
      </c>
      <c r="I20" s="49"/>
    </row>
    <row r="21" spans="1:10" s="17" customFormat="1">
      <c r="A21" s="33"/>
      <c r="B21" s="163" t="s">
        <v>12</v>
      </c>
      <c r="C21" s="164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84" t="s">
        <v>87</v>
      </c>
      <c r="C23" s="185"/>
      <c r="D23" s="43">
        <v>95500</v>
      </c>
      <c r="E23" s="14">
        <v>95500</v>
      </c>
      <c r="F23" s="43">
        <v>0</v>
      </c>
      <c r="G23" s="43">
        <v>95000</v>
      </c>
      <c r="H23" s="43">
        <v>31000</v>
      </c>
      <c r="I23" s="49" t="s">
        <v>66</v>
      </c>
    </row>
    <row r="24" spans="1:10" s="17" customFormat="1" ht="61.5" customHeight="1">
      <c r="A24" s="33"/>
      <c r="B24" s="184" t="s">
        <v>88</v>
      </c>
      <c r="C24" s="185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v>973004</v>
      </c>
      <c r="I24" s="49"/>
    </row>
    <row r="25" spans="1:10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8444.9+13824.93+2730535.32+437023+267+53400+145380+30000+58884+13600+63821585.57</f>
        <v>67312944.719999999</v>
      </c>
      <c r="I25" s="11" t="s">
        <v>91</v>
      </c>
      <c r="J25" s="20"/>
    </row>
    <row r="26" spans="1:10" s="17" customFormat="1" ht="109.5" customHeight="1">
      <c r="A26" s="33"/>
      <c r="B26" s="161" t="s">
        <v>89</v>
      </c>
      <c r="C26" s="162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1213000</v>
      </c>
      <c r="I26" s="11" t="s">
        <v>90</v>
      </c>
      <c r="J26" s="10"/>
    </row>
    <row r="27" spans="1:10" s="10" customFormat="1" ht="84" customHeight="1">
      <c r="A27" s="38"/>
      <c r="B27" s="165" t="s">
        <v>38</v>
      </c>
      <c r="C27" s="166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74432</f>
        <v>74432</v>
      </c>
      <c r="I27" s="13"/>
    </row>
    <row r="28" spans="1:10" s="10" customFormat="1" ht="65.25" customHeight="1">
      <c r="A28" s="46"/>
      <c r="B28" s="131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v>39696998.880000003</v>
      </c>
      <c r="I28" s="13"/>
    </row>
    <row r="29" spans="1:10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14376.53</v>
      </c>
      <c r="I29" s="11" t="s">
        <v>92</v>
      </c>
    </row>
    <row r="30" spans="1:10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173376</v>
      </c>
      <c r="I30" s="13"/>
    </row>
    <row r="31" spans="1:10" s="10" customFormat="1" ht="104.25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v>2142996.9700000002</v>
      </c>
      <c r="I31" s="11" t="s">
        <v>93</v>
      </c>
    </row>
    <row r="32" spans="1:10" s="10" customFormat="1" ht="62.25" customHeight="1">
      <c r="A32" s="47"/>
      <c r="B32" s="132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v>5321796.32</v>
      </c>
      <c r="I32" s="11" t="s">
        <v>94</v>
      </c>
    </row>
    <row r="33" spans="1:9" s="10" customFormat="1" ht="60.75" customHeight="1">
      <c r="A33" s="47"/>
      <c r="B33" s="132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3943058.19</v>
      </c>
      <c r="I33" s="11" t="s">
        <v>111</v>
      </c>
    </row>
    <row r="34" spans="1:9" s="10" customFormat="1" ht="56.25">
      <c r="A34" s="48"/>
      <c r="B34" s="133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40787340.799999997</v>
      </c>
      <c r="I34" s="11" t="s">
        <v>95</v>
      </c>
    </row>
    <row r="35" spans="1:9" s="10" customFormat="1" ht="114.75" customHeight="1">
      <c r="A35" s="32"/>
      <c r="B35" s="161" t="s">
        <v>97</v>
      </c>
      <c r="C35" s="162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205800+536080+842000</f>
        <v>1583880</v>
      </c>
      <c r="I35" s="56" t="s">
        <v>96</v>
      </c>
    </row>
    <row r="36" spans="1:9" s="10" customFormat="1" ht="86.25" customHeight="1">
      <c r="A36" s="131"/>
      <c r="B36" s="165" t="s">
        <v>98</v>
      </c>
      <c r="C36" s="166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H37+H39+3146140</f>
        <v>35234188.849999994</v>
      </c>
      <c r="I36" s="11" t="s">
        <v>100</v>
      </c>
    </row>
    <row r="37" spans="1:9" s="10" customFormat="1" ht="30" customHeight="1">
      <c r="A37" s="132"/>
      <c r="B37" s="143" t="s">
        <v>12</v>
      </c>
      <c r="C37" s="151" t="s">
        <v>55</v>
      </c>
      <c r="D37" s="134">
        <v>5000000</v>
      </c>
      <c r="E37" s="134">
        <v>5000000</v>
      </c>
      <c r="F37" s="190">
        <v>10000000</v>
      </c>
      <c r="G37" s="190">
        <v>10000000</v>
      </c>
      <c r="H37" s="190">
        <v>100000</v>
      </c>
      <c r="I37" s="151"/>
    </row>
    <row r="38" spans="1:9" s="10" customFormat="1" ht="33" customHeight="1">
      <c r="A38" s="132"/>
      <c r="B38" s="167"/>
      <c r="C38" s="153"/>
      <c r="D38" s="135"/>
      <c r="E38" s="135"/>
      <c r="F38" s="191"/>
      <c r="G38" s="191"/>
      <c r="H38" s="191"/>
      <c r="I38" s="153"/>
    </row>
    <row r="39" spans="1:9" s="10" customFormat="1" ht="37.5">
      <c r="A39" s="133"/>
      <c r="B39" s="144"/>
      <c r="C39" s="11" t="s">
        <v>23</v>
      </c>
      <c r="D39" s="12">
        <f>60500000+242578000</f>
        <v>303078000</v>
      </c>
      <c r="E39" s="12">
        <f>60500000+162000000</f>
        <v>222500000</v>
      </c>
      <c r="F39" s="35">
        <v>112477000</v>
      </c>
      <c r="G39" s="35">
        <v>112477000</v>
      </c>
      <c r="H39" s="35">
        <f>194367.99+31793680.86</f>
        <v>31988048.849999998</v>
      </c>
      <c r="I39" s="11" t="s">
        <v>101</v>
      </c>
    </row>
    <row r="40" spans="1:9" s="10" customFormat="1" ht="86.25" customHeight="1">
      <c r="A40" s="131"/>
      <c r="B40" s="161" t="s">
        <v>41</v>
      </c>
      <c r="C40" s="162"/>
      <c r="D40" s="28">
        <f>2120000+160000+117000+72000</f>
        <v>2469000</v>
      </c>
      <c r="E40" s="28">
        <f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v>75000</v>
      </c>
      <c r="I40" s="11"/>
    </row>
    <row r="41" spans="1:9" s="10" customFormat="1" ht="42.75" customHeight="1">
      <c r="A41" s="132"/>
      <c r="B41" s="131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v>51110009.539999999</v>
      </c>
      <c r="I41" s="13"/>
    </row>
    <row r="42" spans="1:9" s="10" customFormat="1" ht="37.5">
      <c r="A42" s="132"/>
      <c r="B42" s="132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32"/>
      <c r="B43" s="132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32"/>
      <c r="B44" s="132"/>
      <c r="C44" s="23" t="s">
        <v>20</v>
      </c>
      <c r="D44" s="12">
        <f>221495400+183735800</f>
        <v>405231200</v>
      </c>
      <c r="E44" s="12">
        <f>221495400+183735800</f>
        <v>405231200</v>
      </c>
      <c r="F44" s="35">
        <v>266028200</v>
      </c>
      <c r="G44" s="35">
        <v>420993200</v>
      </c>
      <c r="H44" s="35">
        <v>180005895.84999999</v>
      </c>
      <c r="I44" s="11" t="s">
        <v>105</v>
      </c>
    </row>
    <row r="45" spans="1:9" s="10" customFormat="1" ht="56.25">
      <c r="A45" s="132"/>
      <c r="B45" s="132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106</v>
      </c>
    </row>
    <row r="46" spans="1:9" s="10" customFormat="1" ht="46.5" customHeight="1">
      <c r="A46" s="132"/>
      <c r="B46" s="132"/>
      <c r="C46" s="22" t="s">
        <v>56</v>
      </c>
      <c r="D46" s="12">
        <f>38313700+13169600</f>
        <v>51483300</v>
      </c>
      <c r="E46" s="12">
        <f>38313700+13169600</f>
        <v>51483300</v>
      </c>
      <c r="F46" s="35">
        <v>38313700</v>
      </c>
      <c r="G46" s="35">
        <v>38313700</v>
      </c>
      <c r="H46" s="35">
        <v>11500000</v>
      </c>
      <c r="I46" s="11"/>
    </row>
    <row r="47" spans="1:9" s="10" customFormat="1" ht="93.75">
      <c r="A47" s="132"/>
      <c r="B47" s="132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104</v>
      </c>
    </row>
    <row r="48" spans="1:9" s="10" customFormat="1" ht="112.5">
      <c r="A48" s="132"/>
      <c r="B48" s="132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1734909.82</v>
      </c>
      <c r="I48" s="11" t="s">
        <v>107</v>
      </c>
    </row>
    <row r="49" spans="1:9" s="10" customFormat="1" ht="131.25">
      <c r="A49" s="133"/>
      <c r="B49" s="133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80777585.480000004</v>
      </c>
      <c r="I49" s="11" t="s">
        <v>108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36">
        <v>5</v>
      </c>
      <c r="B55" s="141" t="s">
        <v>57</v>
      </c>
      <c r="C55" s="142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211441800</v>
      </c>
      <c r="I55" s="157"/>
    </row>
    <row r="56" spans="1:9" s="10" customFormat="1" ht="52.15" customHeight="1">
      <c r="A56" s="137"/>
      <c r="B56" s="143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570000</v>
      </c>
      <c r="I56" s="158"/>
    </row>
    <row r="57" spans="1:9" s="10" customFormat="1" ht="100.5" customHeight="1">
      <c r="A57" s="138"/>
      <c r="B57" s="144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59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210871800</v>
      </c>
      <c r="I58" s="11" t="s">
        <v>110</v>
      </c>
    </row>
    <row r="59" spans="1:9" s="10" customFormat="1" ht="66.75" customHeight="1">
      <c r="A59" s="38">
        <v>6</v>
      </c>
      <c r="B59" s="141" t="s">
        <v>22</v>
      </c>
      <c r="C59" s="142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17368405.649999999</v>
      </c>
      <c r="I59" s="13"/>
    </row>
    <row r="60" spans="1:9" s="10" customFormat="1" ht="144" customHeight="1">
      <c r="A60" s="39">
        <v>7</v>
      </c>
      <c r="B60" s="139" t="s">
        <v>43</v>
      </c>
      <c r="C60" s="139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1041142.84</v>
      </c>
      <c r="I60" s="13"/>
    </row>
    <row r="61" spans="1:9" s="10" customFormat="1" ht="68.25" customHeight="1">
      <c r="A61" s="39">
        <v>8</v>
      </c>
      <c r="B61" s="140" t="s">
        <v>102</v>
      </c>
      <c r="C61" s="140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60" t="s">
        <v>27</v>
      </c>
      <c r="C62" s="160"/>
      <c r="D62" s="41">
        <v>100000</v>
      </c>
      <c r="E62" s="41">
        <v>100000</v>
      </c>
      <c r="F62" s="54">
        <v>0</v>
      </c>
      <c r="G62" s="54">
        <v>2300000</v>
      </c>
      <c r="H62" s="54">
        <v>1800000</v>
      </c>
      <c r="I62" s="11" t="s">
        <v>103</v>
      </c>
    </row>
    <row r="63" spans="1:9" s="10" customFormat="1" ht="39" customHeight="1">
      <c r="A63" s="31"/>
      <c r="B63" s="147" t="s">
        <v>58</v>
      </c>
      <c r="C63" s="148"/>
      <c r="D63" s="58">
        <f>D4+D8+D14+D20+D55+D59+D60+D61+D62</f>
        <v>2547532847.8000002</v>
      </c>
      <c r="E63" s="58">
        <f>E4+E8+E14+E20+E55+E59+E60+E61+E62</f>
        <v>2459178897.9599996</v>
      </c>
      <c r="F63" s="59">
        <f>F4+F8+F14+F20+F55+F59+F60+F61+F62</f>
        <v>2892353600</v>
      </c>
      <c r="G63" s="59">
        <f>G4+G8+G14+G20+G55+G59+G60+G61+G62</f>
        <v>3062677440</v>
      </c>
      <c r="H63" s="59">
        <f>H4+H8+H14+H20+H55+H59+H60+H61+H62</f>
        <v>1189830186.78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A4:A7"/>
    <mergeCell ref="B4:C4"/>
    <mergeCell ref="I4:I7"/>
    <mergeCell ref="B5:B7"/>
    <mergeCell ref="A2:A3"/>
    <mergeCell ref="B2:C3"/>
    <mergeCell ref="D2:D3"/>
    <mergeCell ref="E2:E3"/>
    <mergeCell ref="I2:I3"/>
    <mergeCell ref="H2:H3"/>
    <mergeCell ref="A8:A13"/>
    <mergeCell ref="B8:C8"/>
    <mergeCell ref="I8:I13"/>
    <mergeCell ref="B9:B13"/>
    <mergeCell ref="A14:A19"/>
    <mergeCell ref="I14:I19"/>
    <mergeCell ref="B15:B19"/>
    <mergeCell ref="I55:I57"/>
    <mergeCell ref="B56:B57"/>
    <mergeCell ref="B59:C59"/>
    <mergeCell ref="B60:C60"/>
    <mergeCell ref="D37:D38"/>
    <mergeCell ref="E37:E38"/>
    <mergeCell ref="I37:I38"/>
    <mergeCell ref="B40:C40"/>
    <mergeCell ref="B41:B49"/>
    <mergeCell ref="B37:B39"/>
    <mergeCell ref="C37:C38"/>
    <mergeCell ref="F37:F38"/>
    <mergeCell ref="G37:G38"/>
    <mergeCell ref="H37:H38"/>
    <mergeCell ref="A55:A57"/>
    <mergeCell ref="B55:C55"/>
    <mergeCell ref="A40:A49"/>
    <mergeCell ref="B26:C26"/>
    <mergeCell ref="B27:C27"/>
    <mergeCell ref="B28:B34"/>
    <mergeCell ref="B35:C35"/>
    <mergeCell ref="A36:A39"/>
    <mergeCell ref="B36:C36"/>
    <mergeCell ref="B63:C63"/>
    <mergeCell ref="F2:F3"/>
    <mergeCell ref="G2:G3"/>
    <mergeCell ref="B23:C23"/>
    <mergeCell ref="B24:C24"/>
    <mergeCell ref="B25:C25"/>
    <mergeCell ref="B20:C20"/>
    <mergeCell ref="B21:C21"/>
    <mergeCell ref="B22:C22"/>
    <mergeCell ref="B61:C61"/>
    <mergeCell ref="B62:C62"/>
  </mergeCells>
  <pageMargins left="0.15748031496062992" right="0.15748031496062992" top="0.19685039370078741" bottom="0.19685039370078741" header="0.15748031496062992" footer="0.15748031496062992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B22" zoomScale="60" zoomScaleNormal="60" workbookViewId="0">
      <selection activeCell="F27" sqref="F2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45"/>
      <c r="B2" s="172" t="s">
        <v>0</v>
      </c>
      <c r="C2" s="173"/>
      <c r="D2" s="168" t="s">
        <v>14</v>
      </c>
      <c r="E2" s="170" t="s">
        <v>84</v>
      </c>
      <c r="F2" s="168" t="s">
        <v>85</v>
      </c>
      <c r="G2" s="168" t="s">
        <v>99</v>
      </c>
      <c r="H2" s="170" t="s">
        <v>112</v>
      </c>
      <c r="I2" s="149" t="s">
        <v>59</v>
      </c>
    </row>
    <row r="3" spans="1:9" s="6" customFormat="1" ht="105" customHeight="1">
      <c r="A3" s="146"/>
      <c r="B3" s="174"/>
      <c r="C3" s="175"/>
      <c r="D3" s="169"/>
      <c r="E3" s="171"/>
      <c r="F3" s="169"/>
      <c r="G3" s="169"/>
      <c r="H3" s="171"/>
      <c r="I3" s="150"/>
    </row>
    <row r="4" spans="1:9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51">
        <f>F5+F6+F7</f>
        <v>40670000</v>
      </c>
      <c r="G4" s="51">
        <f>G5+G6+G7</f>
        <v>40935900</v>
      </c>
      <c r="H4" s="51">
        <f>H5+H6+H7</f>
        <v>20407360.5</v>
      </c>
      <c r="I4" s="151" t="s">
        <v>60</v>
      </c>
    </row>
    <row r="5" spans="1:9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24356100+7114100</f>
        <v>31470200</v>
      </c>
      <c r="H5" s="35">
        <f>12422713.74+3659325.26</f>
        <v>16082039</v>
      </c>
      <c r="I5" s="152"/>
    </row>
    <row r="6" spans="1:9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f>306400+747400+40500</f>
        <v>1094300</v>
      </c>
      <c r="I6" s="152"/>
    </row>
    <row r="7" spans="1:9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f>2323004+299750.74+1636996.76+62220+3350-1094300</f>
        <v>3231021.5</v>
      </c>
      <c r="I7" s="153"/>
    </row>
    <row r="8" spans="1:9" s="10" customFormat="1" ht="27.75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E9+E10+E11+E12+E13</f>
        <v>934075828.82000005</v>
      </c>
      <c r="F8" s="51">
        <f>F9+F10+F11+F12+F13</f>
        <v>942386600</v>
      </c>
      <c r="G8" s="51">
        <f>G9+G10+G11+G12+G13</f>
        <v>947336100</v>
      </c>
      <c r="H8" s="51">
        <f>H9+H10+H11+H12+H13</f>
        <v>460322019.81000006</v>
      </c>
      <c r="I8" s="151" t="s">
        <v>61</v>
      </c>
    </row>
    <row r="9" spans="1:9" s="10" customFormat="1" ht="28.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30277729+8403064+218465227+62841700+10120253.56+3032505.92</f>
        <v>333140479.48000002</v>
      </c>
      <c r="I9" s="152"/>
    </row>
    <row r="10" spans="1:9" s="10" customFormat="1" ht="27.7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65200+133400+10500+2830460+3350+1741996+2340585+14590900+999400+21098772.65+10948400+158500</f>
        <v>54921463.649999999</v>
      </c>
      <c r="I10" s="152"/>
    </row>
    <row r="11" spans="1:9" s="10" customFormat="1" ht="27.7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f>6947504+1700200+47518445</f>
        <v>56166149</v>
      </c>
      <c r="I11" s="152"/>
    </row>
    <row r="12" spans="1:9" s="10" customFormat="1" ht="25.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55">
        <f>755800+7236200</f>
        <v>7992000</v>
      </c>
      <c r="G12" s="55">
        <f>755800+7236200</f>
        <v>7992000</v>
      </c>
      <c r="H12" s="55">
        <f>434795+4341900</f>
        <v>4776695</v>
      </c>
      <c r="I12" s="152"/>
    </row>
    <row r="13" spans="1:9" s="10" customFormat="1" ht="25.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f>22265+1049532.98+57943417+388031638.35+300+121351+756-H10-H11-H12-H9+10120253.56+3032505.92</f>
        <v>11317232.680000048</v>
      </c>
      <c r="I13" s="153"/>
    </row>
    <row r="14" spans="1:9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51">
        <f>F15+F16+F17+F18+F19</f>
        <v>70238900</v>
      </c>
      <c r="G14" s="51">
        <f>G15+G16+G17+G18+G19</f>
        <v>70238900</v>
      </c>
      <c r="H14" s="51">
        <f>H15+H16+H17+H18+H19</f>
        <v>33180895.629999999</v>
      </c>
      <c r="I14" s="154" t="s">
        <v>62</v>
      </c>
    </row>
    <row r="15" spans="1:9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20689479.59+6173623.5</f>
        <v>26863103.09</v>
      </c>
      <c r="I15" s="155"/>
    </row>
    <row r="16" spans="1:9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1100600+847000+85000</f>
        <v>2032600</v>
      </c>
      <c r="I16" s="155"/>
    </row>
    <row r="17" spans="1:10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f>20230+6236443.09+34007.03+7571+19541.42-H16</f>
        <v>4285192.54</v>
      </c>
      <c r="I17" s="155"/>
    </row>
    <row r="18" spans="1:10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55"/>
    </row>
    <row r="19" spans="1:10" s="10" customFormat="1" ht="52.5" customHeight="1">
      <c r="A19" s="133"/>
      <c r="B19" s="15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56"/>
    </row>
    <row r="20" spans="1:10" s="17" customFormat="1">
      <c r="A20" s="30">
        <v>4</v>
      </c>
      <c r="B20" s="188" t="s">
        <v>45</v>
      </c>
      <c r="C20" s="189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51">
        <f>F22+F23+F24+F25+F26+F27+F35+F36+F40+F41+F42+F43+F44+F45+F46+F47+F48+F49+F28+F29+F30+F31+F32+F33+F34</f>
        <v>1117233800</v>
      </c>
      <c r="G20" s="51">
        <f>G22+G23+G24+G25+G26+G27+G35+G36+G40+G41+G42+G43+G44+G45+G46+G47+G48+G49+G28+G29+G30+G31+G32+G33+G34</f>
        <v>1280042240</v>
      </c>
      <c r="H20" s="51">
        <f>H22+H23+H24+H25+H26+H27+H35+H36+H40+H41+H42+H43+H44+H45+H46+H47+H48+H49+H28+H29+H30+H31+H32+H33+H34</f>
        <v>633816681.1400001</v>
      </c>
      <c r="I20" s="49"/>
    </row>
    <row r="21" spans="1:10" s="17" customFormat="1">
      <c r="A21" s="33"/>
      <c r="B21" s="163" t="s">
        <v>12</v>
      </c>
      <c r="C21" s="164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84" t="s">
        <v>87</v>
      </c>
      <c r="C23" s="185"/>
      <c r="D23" s="43">
        <v>95500</v>
      </c>
      <c r="E23" s="14">
        <v>95500</v>
      </c>
      <c r="F23" s="43">
        <v>0</v>
      </c>
      <c r="G23" s="43">
        <v>95000</v>
      </c>
      <c r="H23" s="43">
        <v>63000</v>
      </c>
      <c r="I23" s="49" t="s">
        <v>66</v>
      </c>
    </row>
    <row r="24" spans="1:10" s="17" customFormat="1" ht="61.5" customHeight="1">
      <c r="A24" s="33"/>
      <c r="B24" s="184" t="s">
        <v>88</v>
      </c>
      <c r="C24" s="185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f>689000+113500+28000+437000+71750</f>
        <v>1339250</v>
      </c>
      <c r="I24" s="49"/>
    </row>
    <row r="25" spans="1:10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1800+15944.9+16950.46+3783855.71+994485.9+320.4+64080+218070+116500+118884+61390.4+4768217.88+70499910.42+332195.24+704871.1</f>
        <v>81697476.409999996</v>
      </c>
      <c r="I25" s="11" t="s">
        <v>113</v>
      </c>
      <c r="J25" s="20"/>
    </row>
    <row r="26" spans="1:10" s="17" customFormat="1" ht="109.5" customHeight="1">
      <c r="A26" s="33"/>
      <c r="B26" s="161" t="s">
        <v>89</v>
      </c>
      <c r="C26" s="162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1333076.8999999999</v>
      </c>
      <c r="I26" s="11" t="s">
        <v>114</v>
      </c>
      <c r="J26" s="10"/>
    </row>
    <row r="27" spans="1:10" s="10" customFormat="1" ht="84" customHeight="1">
      <c r="A27" s="38"/>
      <c r="B27" s="165" t="s">
        <v>38</v>
      </c>
      <c r="C27" s="166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13044+89472</f>
        <v>102516</v>
      </c>
      <c r="I27" s="13"/>
    </row>
    <row r="28" spans="1:10" s="10" customFormat="1" ht="65.25" customHeight="1">
      <c r="A28" s="46"/>
      <c r="B28" s="131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f>1705.1+46234567.94</f>
        <v>46236273.039999999</v>
      </c>
      <c r="I28" s="13"/>
    </row>
    <row r="29" spans="1:10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17907.11</v>
      </c>
      <c r="I29" s="11" t="s">
        <v>115</v>
      </c>
    </row>
    <row r="30" spans="1:10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756576</v>
      </c>
      <c r="I30" s="13"/>
    </row>
    <row r="31" spans="1:10" s="10" customFormat="1" ht="104.25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f>4058.51+2336942.57</f>
        <v>2341001.0799999996</v>
      </c>
      <c r="I31" s="11" t="s">
        <v>93</v>
      </c>
    </row>
    <row r="32" spans="1:10" s="10" customFormat="1" ht="62.25" customHeight="1">
      <c r="A32" s="47"/>
      <c r="B32" s="132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f>3346.95+6396579.96</f>
        <v>6399926.9100000001</v>
      </c>
      <c r="I32" s="11" t="s">
        <v>116</v>
      </c>
    </row>
    <row r="33" spans="1:9" s="10" customFormat="1" ht="60.75" customHeight="1">
      <c r="A33" s="47"/>
      <c r="B33" s="132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4873416.07</v>
      </c>
      <c r="I33" s="11" t="s">
        <v>117</v>
      </c>
    </row>
    <row r="34" spans="1:9" s="10" customFormat="1" ht="56.25">
      <c r="A34" s="48"/>
      <c r="B34" s="133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40828484.259999998</v>
      </c>
      <c r="I34" s="11" t="s">
        <v>118</v>
      </c>
    </row>
    <row r="35" spans="1:9" s="10" customFormat="1" ht="114.75" customHeight="1">
      <c r="A35" s="32"/>
      <c r="B35" s="161" t="s">
        <v>97</v>
      </c>
      <c r="C35" s="162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205800+760370+842000+397000+99300+311700+23260.32</f>
        <v>2639430.3199999998</v>
      </c>
      <c r="I35" s="56" t="s">
        <v>119</v>
      </c>
    </row>
    <row r="36" spans="1:9" s="10" customFormat="1" ht="86.25" customHeight="1">
      <c r="A36" s="131"/>
      <c r="B36" s="165" t="s">
        <v>98</v>
      </c>
      <c r="C36" s="166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H37+H39+1716.11+94520+1697520+514200+1923100+135000</f>
        <v>48688641.160000004</v>
      </c>
      <c r="I36" s="11" t="s">
        <v>100</v>
      </c>
    </row>
    <row r="37" spans="1:9" s="10" customFormat="1" ht="30" customHeight="1">
      <c r="A37" s="132"/>
      <c r="B37" s="143" t="s">
        <v>12</v>
      </c>
      <c r="C37" s="151" t="s">
        <v>55</v>
      </c>
      <c r="D37" s="134">
        <v>5000000</v>
      </c>
      <c r="E37" s="134">
        <v>5000000</v>
      </c>
      <c r="F37" s="190">
        <v>10000000</v>
      </c>
      <c r="G37" s="190">
        <v>10000000</v>
      </c>
      <c r="H37" s="190">
        <v>100000</v>
      </c>
      <c r="I37" s="151"/>
    </row>
    <row r="38" spans="1:9" s="10" customFormat="1" ht="33" customHeight="1">
      <c r="A38" s="132"/>
      <c r="B38" s="167"/>
      <c r="C38" s="153"/>
      <c r="D38" s="135"/>
      <c r="E38" s="135"/>
      <c r="F38" s="191"/>
      <c r="G38" s="191"/>
      <c r="H38" s="191"/>
      <c r="I38" s="153"/>
    </row>
    <row r="39" spans="1:9" s="10" customFormat="1" ht="37.5">
      <c r="A39" s="133"/>
      <c r="B39" s="144"/>
      <c r="C39" s="11" t="s">
        <v>23</v>
      </c>
      <c r="D39" s="12">
        <f>60500000+242578000</f>
        <v>303078000</v>
      </c>
      <c r="E39" s="12">
        <f>60500000+162000000</f>
        <v>222500000</v>
      </c>
      <c r="F39" s="35">
        <v>112477000</v>
      </c>
      <c r="G39" s="35">
        <v>112477000</v>
      </c>
      <c r="H39" s="35">
        <f>194367.99+44028217.06</f>
        <v>44222585.050000004</v>
      </c>
      <c r="I39" s="11" t="s">
        <v>101</v>
      </c>
    </row>
    <row r="40" spans="1:9" s="10" customFormat="1" ht="86.25" customHeight="1">
      <c r="A40" s="131"/>
      <c r="B40" s="161" t="s">
        <v>41</v>
      </c>
      <c r="C40" s="162"/>
      <c r="D40" s="28">
        <f>2120000+160000+117000+72000</f>
        <v>2469000</v>
      </c>
      <c r="E40" s="28">
        <f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f>110000+75000+10000</f>
        <v>195000</v>
      </c>
      <c r="I40" s="11"/>
    </row>
    <row r="41" spans="1:9" s="10" customFormat="1" ht="42.75" customHeight="1">
      <c r="A41" s="132"/>
      <c r="B41" s="131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f>62134114.2+10010</f>
        <v>62144124.200000003</v>
      </c>
      <c r="I41" s="13"/>
    </row>
    <row r="42" spans="1:9" s="10" customFormat="1" ht="37.5">
      <c r="A42" s="132"/>
      <c r="B42" s="132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32"/>
      <c r="B43" s="132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32"/>
      <c r="B44" s="132"/>
      <c r="C44" s="23" t="s">
        <v>20</v>
      </c>
      <c r="D44" s="12">
        <f>221495400+183735800</f>
        <v>405231200</v>
      </c>
      <c r="E44" s="12">
        <f>221495400+183735800</f>
        <v>405231200</v>
      </c>
      <c r="F44" s="35">
        <v>266028200</v>
      </c>
      <c r="G44" s="35">
        <v>420993200</v>
      </c>
      <c r="H44" s="35">
        <v>218476897.08000001</v>
      </c>
      <c r="I44" s="11" t="s">
        <v>120</v>
      </c>
    </row>
    <row r="45" spans="1:9" s="10" customFormat="1" ht="56.25">
      <c r="A45" s="132"/>
      <c r="B45" s="132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121</v>
      </c>
    </row>
    <row r="46" spans="1:9" s="10" customFormat="1" ht="46.5" customHeight="1">
      <c r="A46" s="132"/>
      <c r="B46" s="132"/>
      <c r="C46" s="22" t="s">
        <v>56</v>
      </c>
      <c r="D46" s="12">
        <f>38313700+13169600</f>
        <v>51483300</v>
      </c>
      <c r="E46" s="12">
        <f>38313700+13169600</f>
        <v>51483300</v>
      </c>
      <c r="F46" s="35">
        <v>38313700</v>
      </c>
      <c r="G46" s="35">
        <v>38313700</v>
      </c>
      <c r="H46" s="35">
        <v>15000000</v>
      </c>
      <c r="I46" s="11"/>
    </row>
    <row r="47" spans="1:9" s="10" customFormat="1" ht="93.75">
      <c r="A47" s="132"/>
      <c r="B47" s="132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124</v>
      </c>
    </row>
    <row r="48" spans="1:9" s="10" customFormat="1" ht="112.5">
      <c r="A48" s="132"/>
      <c r="B48" s="132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2062275.12</v>
      </c>
      <c r="I48" s="11" t="s">
        <v>122</v>
      </c>
    </row>
    <row r="49" spans="1:9" s="10" customFormat="1" ht="131.25">
      <c r="A49" s="133"/>
      <c r="B49" s="133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98621409.480000004</v>
      </c>
      <c r="I49" s="11" t="s">
        <v>123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36">
        <v>5</v>
      </c>
      <c r="B55" s="141" t="s">
        <v>57</v>
      </c>
      <c r="C55" s="142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247614200</v>
      </c>
      <c r="I55" s="157"/>
    </row>
    <row r="56" spans="1:9" s="10" customFormat="1" ht="52.15" customHeight="1">
      <c r="A56" s="137"/>
      <c r="B56" s="143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575000</v>
      </c>
      <c r="I56" s="158"/>
    </row>
    <row r="57" spans="1:9" s="10" customFormat="1" ht="100.5" customHeight="1">
      <c r="A57" s="138"/>
      <c r="B57" s="144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59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247039200</v>
      </c>
      <c r="I58" s="11" t="s">
        <v>125</v>
      </c>
    </row>
    <row r="59" spans="1:9" s="10" customFormat="1" ht="66.75" customHeight="1">
      <c r="A59" s="38">
        <v>6</v>
      </c>
      <c r="B59" s="141" t="s">
        <v>22</v>
      </c>
      <c r="C59" s="142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20917903.920000002</v>
      </c>
      <c r="I59" s="13"/>
    </row>
    <row r="60" spans="1:9" s="10" customFormat="1" ht="144" customHeight="1">
      <c r="A60" s="39">
        <v>7</v>
      </c>
      <c r="B60" s="139" t="s">
        <v>43</v>
      </c>
      <c r="C60" s="139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1381316.53</v>
      </c>
      <c r="I60" s="13"/>
    </row>
    <row r="61" spans="1:9" s="10" customFormat="1" ht="68.25" customHeight="1">
      <c r="A61" s="39">
        <v>8</v>
      </c>
      <c r="B61" s="140" t="s">
        <v>102</v>
      </c>
      <c r="C61" s="140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60" t="s">
        <v>127</v>
      </c>
      <c r="C62" s="160"/>
      <c r="D62" s="41">
        <v>100000</v>
      </c>
      <c r="E62" s="41">
        <v>100000</v>
      </c>
      <c r="F62" s="54">
        <v>0</v>
      </c>
      <c r="G62" s="54">
        <v>2300000</v>
      </c>
      <c r="H62" s="54">
        <v>2300000</v>
      </c>
      <c r="I62" s="11" t="s">
        <v>126</v>
      </c>
    </row>
    <row r="63" spans="1:9" s="10" customFormat="1" ht="39" customHeight="1">
      <c r="A63" s="31"/>
      <c r="B63" s="147" t="s">
        <v>58</v>
      </c>
      <c r="C63" s="148"/>
      <c r="D63" s="58">
        <f>D4+D8+D14+D20+D55+D59+D60+D61+D62</f>
        <v>2547532847.8000002</v>
      </c>
      <c r="E63" s="58">
        <f>E4+E8+E14+E20+E55+E59+E60+E61+E62</f>
        <v>2459178897.9599996</v>
      </c>
      <c r="F63" s="59">
        <f>F4+F8+F14+F20+F55+F59+F60+F61+F62</f>
        <v>2892353600</v>
      </c>
      <c r="G63" s="59">
        <f>G4+G8+G14+G20+G55+G59+G60+G61+G62</f>
        <v>3062677440</v>
      </c>
      <c r="H63" s="59">
        <f>H4+H8+H14+H20+H55+H59+H60+H61+H62</f>
        <v>1419940377.5300002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B59:C59"/>
    <mergeCell ref="B60:C60"/>
    <mergeCell ref="B61:C61"/>
    <mergeCell ref="B62:C62"/>
    <mergeCell ref="B63:C63"/>
    <mergeCell ref="A40:A49"/>
    <mergeCell ref="B40:C40"/>
    <mergeCell ref="B41:B49"/>
    <mergeCell ref="A55:A57"/>
    <mergeCell ref="B55:C55"/>
    <mergeCell ref="I55:I57"/>
    <mergeCell ref="B56:B57"/>
    <mergeCell ref="D37:D38"/>
    <mergeCell ref="E37:E38"/>
    <mergeCell ref="F37:F38"/>
    <mergeCell ref="G37:G38"/>
    <mergeCell ref="H37:H38"/>
    <mergeCell ref="I37:I38"/>
    <mergeCell ref="B26:C26"/>
    <mergeCell ref="B27:C27"/>
    <mergeCell ref="B28:B34"/>
    <mergeCell ref="B35:C35"/>
    <mergeCell ref="A36:A39"/>
    <mergeCell ref="B36:C36"/>
    <mergeCell ref="B37:B39"/>
    <mergeCell ref="C37:C38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0"/>
  <sheetViews>
    <sheetView view="pageBreakPreview" zoomScale="60" zoomScaleNormal="60" workbookViewId="0">
      <selection activeCell="H7" sqref="H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139.5" customHeight="1">
      <c r="A2" s="145"/>
      <c r="B2" s="172" t="s">
        <v>0</v>
      </c>
      <c r="C2" s="173"/>
      <c r="D2" s="168" t="s">
        <v>14</v>
      </c>
      <c r="E2" s="170" t="s">
        <v>84</v>
      </c>
      <c r="F2" s="168" t="s">
        <v>197</v>
      </c>
      <c r="G2" s="168" t="s">
        <v>132</v>
      </c>
      <c r="H2" s="170" t="s">
        <v>133</v>
      </c>
      <c r="I2" s="149" t="s">
        <v>59</v>
      </c>
    </row>
    <row r="3" spans="1:9" s="6" customFormat="1" ht="8.25" customHeight="1">
      <c r="A3" s="146"/>
      <c r="B3" s="174"/>
      <c r="C3" s="175"/>
      <c r="D3" s="169"/>
      <c r="E3" s="171"/>
      <c r="F3" s="169"/>
      <c r="G3" s="169"/>
      <c r="H3" s="171"/>
      <c r="I3" s="150"/>
    </row>
    <row r="4" spans="1:9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51">
        <f>F5+F6+F7</f>
        <v>40670000</v>
      </c>
      <c r="G4" s="51">
        <f>G5+G6+G7</f>
        <v>40502200</v>
      </c>
      <c r="H4" s="51">
        <f>H5+H6+H7</f>
        <v>40322770.849999994</v>
      </c>
      <c r="I4" s="151" t="s">
        <v>60</v>
      </c>
    </row>
    <row r="5" spans="1:9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25486100+7178000</f>
        <v>32664100</v>
      </c>
      <c r="H5" s="55">
        <f>25484657+7177913.63</f>
        <v>32662570.629999999</v>
      </c>
      <c r="I5" s="152"/>
    </row>
    <row r="6" spans="1:9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f>620000+907400+80000</f>
        <v>1607400</v>
      </c>
      <c r="H6" s="55">
        <f>620000+907400+80000</f>
        <v>1607400</v>
      </c>
      <c r="I6" s="152"/>
    </row>
    <row r="7" spans="1:9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f>2406000+58100+179100+147500+299800+670000+21800+434800+1032400+17800+50300+563700+129800+3400+216200</f>
        <v>6230700</v>
      </c>
      <c r="H7" s="55">
        <f>2790291.15+299750.74+4231069.69+119578.64+3350+216160-1607400</f>
        <v>6052800.2199999997</v>
      </c>
      <c r="I7" s="153"/>
    </row>
    <row r="8" spans="1:9" s="10" customFormat="1" ht="30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E9+E10+E11+E12+E13</f>
        <v>934075828.82000005</v>
      </c>
      <c r="F8" s="51">
        <f>F9+F10+F11+F12+F13</f>
        <v>942386600</v>
      </c>
      <c r="G8" s="51">
        <f>G9+G10+G11+G12+G13</f>
        <v>960889100</v>
      </c>
      <c r="H8" s="51">
        <f>H9+H10+H11+H12+H13</f>
        <v>956083064.15999997</v>
      </c>
      <c r="I8" s="151" t="s">
        <v>193</v>
      </c>
    </row>
    <row r="9" spans="1:9" s="10" customFormat="1" ht="32.2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22228200+6672300+67638900+20616800+454776759+135839363</f>
        <v>707772322</v>
      </c>
      <c r="H9" s="55">
        <f>G9-100-43.43-6901.96</f>
        <v>707765276.61000001</v>
      </c>
      <c r="I9" s="152"/>
    </row>
    <row r="10" spans="1:9" s="10" customFormat="1" ht="35.2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291387+362462+32651+7796200+5100+3513800+2591000+41217995+1879488+41310619+9107136+1193000</f>
        <v>109300838</v>
      </c>
      <c r="H10" s="55">
        <f>7685020+5100+3416077+1861867+39212760.35+1814400+41139260+8010671+1177500+282909+361611+31635</f>
        <v>104998810.34999999</v>
      </c>
      <c r="I10" s="152"/>
    </row>
    <row r="11" spans="1:9" s="10" customFormat="1" ht="32.2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55">
        <f>11896800+4070200+75671300</f>
        <v>91638300</v>
      </c>
      <c r="G11" s="55">
        <f>130000+11628200+5135658+73547700</f>
        <v>90441558</v>
      </c>
      <c r="H11" s="55">
        <f>130000+11628200+5135658+73547700</f>
        <v>90441558</v>
      </c>
      <c r="I11" s="152"/>
    </row>
    <row r="12" spans="1:9" s="10" customFormat="1" ht="32.2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55">
        <f>755800+7236200</f>
        <v>7992000</v>
      </c>
      <c r="G12" s="55">
        <f>7150520+777400</f>
        <v>7927920</v>
      </c>
      <c r="H12" s="55">
        <f>7150520+777400</f>
        <v>7927920</v>
      </c>
      <c r="I12" s="152"/>
    </row>
    <row r="13" spans="1:9" s="10" customFormat="1" ht="4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5300+13600+34700+53300+835000+489995+1330227+40000+814578+2132800+750000+2294700+15552242+2463020+18376000+600+244400+10400+5600</f>
        <v>45446462</v>
      </c>
      <c r="H13" s="35">
        <f>956083064.16-H9-H10-H11-H12</f>
        <v>44949499.199999958</v>
      </c>
      <c r="I13" s="153"/>
    </row>
    <row r="14" spans="1:9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51">
        <f>F15+F16+F17+F18+F19</f>
        <v>70238900</v>
      </c>
      <c r="G14" s="51">
        <f>G15+G16+G17+G18+G19</f>
        <v>69052400</v>
      </c>
      <c r="H14" s="51">
        <f>H15+H16+H17+H18+H19</f>
        <v>68773968.200000003</v>
      </c>
      <c r="I14" s="154" t="s">
        <v>62</v>
      </c>
    </row>
    <row r="15" spans="1:9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40020000+11865800</f>
        <v>51885800</v>
      </c>
      <c r="H15" s="55">
        <f>40020000+11859431.03</f>
        <v>51879431.030000001</v>
      </c>
      <c r="I15" s="155"/>
    </row>
    <row r="16" spans="1:9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2705000-146000+1550000+170000</f>
        <v>4279000</v>
      </c>
      <c r="H16" s="55">
        <f>2536500+1481100+170000-146000-891.19</f>
        <v>4040708.81</v>
      </c>
      <c r="I16" s="155"/>
    </row>
    <row r="17" spans="1:10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f>146000+5100+61950+31930+66020+173800+2768600+230314+2839523+2330897+2744900+64566+1216800+111100+10000+78000+8100</f>
        <v>12887600</v>
      </c>
      <c r="H17" s="55">
        <v>12853828.359999999</v>
      </c>
      <c r="I17" s="155"/>
    </row>
    <row r="18" spans="1:10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55">
        <v>0</v>
      </c>
      <c r="I18" s="155"/>
    </row>
    <row r="19" spans="1:10" s="10" customFormat="1" ht="52.5" hidden="1" customHeight="1">
      <c r="A19" s="133"/>
      <c r="B19" s="15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56"/>
    </row>
    <row r="20" spans="1:10" s="17" customFormat="1">
      <c r="A20" s="30">
        <v>4</v>
      </c>
      <c r="B20" s="188" t="s">
        <v>45</v>
      </c>
      <c r="C20" s="189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1793068900</v>
      </c>
      <c r="G20" s="51">
        <f>G22+G23+G24+G25+G26+G27+G42+G53+G68</f>
        <v>2019340265.1199999</v>
      </c>
      <c r="H20" s="51">
        <f>H22+H23+H24+H25+H26+H27+H42+H53+H68</f>
        <v>1903117728.73</v>
      </c>
      <c r="I20" s="49"/>
    </row>
    <row r="21" spans="1:10" s="17" customFormat="1">
      <c r="A21" s="33"/>
      <c r="B21" s="163" t="s">
        <v>12</v>
      </c>
      <c r="C21" s="164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43">
        <v>0</v>
      </c>
      <c r="G22" s="43">
        <v>172000</v>
      </c>
      <c r="H22" s="53">
        <v>172000</v>
      </c>
      <c r="I22" s="49" t="s">
        <v>64</v>
      </c>
    </row>
    <row r="23" spans="1:10" s="17" customFormat="1" ht="102.75" customHeight="1">
      <c r="A23" s="33"/>
      <c r="B23" s="184" t="s">
        <v>87</v>
      </c>
      <c r="C23" s="185"/>
      <c r="D23" s="43">
        <v>95500</v>
      </c>
      <c r="E23" s="14">
        <v>95500</v>
      </c>
      <c r="F23" s="43">
        <v>0</v>
      </c>
      <c r="G23" s="43">
        <v>95000</v>
      </c>
      <c r="H23" s="53">
        <v>95000</v>
      </c>
      <c r="I23" s="49" t="s">
        <v>66</v>
      </c>
    </row>
    <row r="24" spans="1:10" s="17" customFormat="1" ht="61.5" customHeight="1">
      <c r="A24" s="33"/>
      <c r="B24" s="184" t="s">
        <v>88</v>
      </c>
      <c r="C24" s="185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f>2179000+95000</f>
        <v>2274000</v>
      </c>
      <c r="H24" s="53">
        <f>958094.5+284000+138100+743591.24+71750</f>
        <v>2195535.7400000002</v>
      </c>
      <c r="I24" s="49"/>
    </row>
    <row r="25" spans="1:10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v>166918400</v>
      </c>
      <c r="H25" s="53">
        <f>15000+14740495.04+151231872.04+6000+150000</f>
        <v>166143367.07999998</v>
      </c>
      <c r="I25" s="11" t="s">
        <v>192</v>
      </c>
      <c r="J25" s="20"/>
    </row>
    <row r="26" spans="1:10" s="17" customFormat="1" ht="109.5" customHeight="1">
      <c r="A26" s="33"/>
      <c r="B26" s="161" t="s">
        <v>89</v>
      </c>
      <c r="C26" s="162"/>
      <c r="D26" s="28">
        <v>4637300</v>
      </c>
      <c r="E26" s="28">
        <f>4029000+608300</f>
        <v>4637300</v>
      </c>
      <c r="F26" s="43">
        <v>755500</v>
      </c>
      <c r="G26" s="43">
        <f>23238+29007.63+39563+49391.37+1199503.5+2042296.5+27750.87+47249.13</f>
        <v>3458000</v>
      </c>
      <c r="H26" s="53">
        <f>141200+3241800+75000</f>
        <v>3458000</v>
      </c>
      <c r="I26" s="11" t="s">
        <v>191</v>
      </c>
      <c r="J26" s="10"/>
    </row>
    <row r="27" spans="1:10" s="10" customFormat="1" ht="84" customHeight="1">
      <c r="A27" s="38"/>
      <c r="B27" s="165" t="s">
        <v>38</v>
      </c>
      <c r="C27" s="166"/>
      <c r="D27" s="42">
        <v>5502864</v>
      </c>
      <c r="E27" s="42">
        <v>5485853.5999999996</v>
      </c>
      <c r="F27" s="53">
        <f>F28+F29+F30+F31+F32+F33+F34+F35+F36+F37+F39+F38+F40+F41</f>
        <v>845694000</v>
      </c>
      <c r="G27" s="53">
        <f>G28+G29+G30+G31+G32+G33+G34+G35+G36+G37+G39+G38+G40+G41</f>
        <v>759385650</v>
      </c>
      <c r="H27" s="53">
        <f>H28+H29+H30+H31+H32+H33+H34+H35+H36+H37+H39+H38+H40+H41</f>
        <v>644233304.92000008</v>
      </c>
      <c r="I27" s="13"/>
    </row>
    <row r="28" spans="1:10" s="10" customFormat="1" ht="65.25" customHeight="1">
      <c r="A28" s="46"/>
      <c r="B28" s="131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f>4200+95083800</f>
        <v>95088000</v>
      </c>
      <c r="H28" s="55">
        <f>3810.21+95083800</f>
        <v>95087610.209999993</v>
      </c>
      <c r="I28" s="13"/>
    </row>
    <row r="29" spans="1:10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55">
        <v>36059.42</v>
      </c>
      <c r="I29" s="11" t="s">
        <v>136</v>
      </c>
    </row>
    <row r="30" spans="1:10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55">
        <v>1919051</v>
      </c>
      <c r="I30" s="13"/>
    </row>
    <row r="31" spans="1:10" s="10" customFormat="1" ht="104.25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55">
        <f>6787.13+4590252.93</f>
        <v>4597040.0599999996</v>
      </c>
      <c r="I31" s="11" t="s">
        <v>137</v>
      </c>
    </row>
    <row r="32" spans="1:10" s="10" customFormat="1" ht="62.25" customHeight="1">
      <c r="A32" s="47"/>
      <c r="B32" s="132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13295700</v>
      </c>
      <c r="H32" s="55">
        <f>6173.39+13289400</f>
        <v>13295573.390000001</v>
      </c>
      <c r="I32" s="11" t="s">
        <v>138</v>
      </c>
    </row>
    <row r="33" spans="1:9" s="10" customFormat="1" ht="60.75" customHeight="1">
      <c r="A33" s="47"/>
      <c r="B33" s="132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72">
        <v>9740197.2400000002</v>
      </c>
      <c r="I33" s="11" t="s">
        <v>141</v>
      </c>
    </row>
    <row r="34" spans="1:9" s="10" customFormat="1" ht="60.75" customHeight="1">
      <c r="A34" s="47"/>
      <c r="B34" s="132"/>
      <c r="C34" s="23" t="s">
        <v>129</v>
      </c>
      <c r="D34" s="24"/>
      <c r="E34" s="36"/>
      <c r="F34" s="36">
        <v>674038500</v>
      </c>
      <c r="G34" s="36">
        <v>584208500</v>
      </c>
      <c r="H34" s="72">
        <v>477019412.62</v>
      </c>
      <c r="I34" s="11" t="s">
        <v>142</v>
      </c>
    </row>
    <row r="35" spans="1:9" s="10" customFormat="1" ht="105.75" customHeight="1">
      <c r="A35" s="47"/>
      <c r="B35" s="132"/>
      <c r="C35" s="23" t="s">
        <v>130</v>
      </c>
      <c r="D35" s="24"/>
      <c r="E35" s="36"/>
      <c r="F35" s="36">
        <v>590000</v>
      </c>
      <c r="G35" s="36">
        <v>100000</v>
      </c>
      <c r="H35" s="72">
        <v>41660</v>
      </c>
      <c r="I35" s="11"/>
    </row>
    <row r="36" spans="1:9" s="10" customFormat="1" ht="73.5" customHeight="1">
      <c r="A36" s="47"/>
      <c r="B36" s="132"/>
      <c r="C36" s="23" t="s">
        <v>131</v>
      </c>
      <c r="D36" s="24"/>
      <c r="E36" s="36"/>
      <c r="F36" s="36">
        <v>0</v>
      </c>
      <c r="G36" s="36">
        <v>24610</v>
      </c>
      <c r="H36" s="72">
        <v>24610</v>
      </c>
      <c r="I36" s="11" t="s">
        <v>139</v>
      </c>
    </row>
    <row r="37" spans="1:9" s="10" customFormat="1" ht="105" customHeight="1">
      <c r="A37" s="47"/>
      <c r="B37" s="132"/>
      <c r="C37" s="23" t="s">
        <v>134</v>
      </c>
      <c r="D37" s="24"/>
      <c r="E37" s="36"/>
      <c r="F37" s="36">
        <v>0</v>
      </c>
      <c r="G37" s="36">
        <v>1115000</v>
      </c>
      <c r="H37" s="72">
        <v>1022516</v>
      </c>
      <c r="I37" s="11"/>
    </row>
    <row r="38" spans="1:9" s="10" customFormat="1" ht="105" customHeight="1">
      <c r="A38" s="47"/>
      <c r="B38" s="132"/>
      <c r="C38" s="23" t="s">
        <v>143</v>
      </c>
      <c r="D38" s="24"/>
      <c r="E38" s="36"/>
      <c r="F38" s="36">
        <v>300000</v>
      </c>
      <c r="G38" s="36">
        <v>198100</v>
      </c>
      <c r="H38" s="72">
        <v>179712</v>
      </c>
      <c r="I38" s="11"/>
    </row>
    <row r="39" spans="1:9" s="10" customFormat="1" ht="56.25">
      <c r="A39" s="48"/>
      <c r="B39" s="133"/>
      <c r="C39" s="23" t="s">
        <v>29</v>
      </c>
      <c r="D39" s="24">
        <v>39812000</v>
      </c>
      <c r="E39" s="36">
        <v>38602489.630000003</v>
      </c>
      <c r="F39" s="36">
        <v>41323100</v>
      </c>
      <c r="G39" s="36">
        <v>41323100</v>
      </c>
      <c r="H39" s="72">
        <v>41269862.979999997</v>
      </c>
      <c r="I39" s="11" t="s">
        <v>140</v>
      </c>
    </row>
    <row r="40" spans="1:9" s="10" customFormat="1" ht="93.75">
      <c r="A40" s="47"/>
      <c r="B40" s="78"/>
      <c r="C40" s="79" t="s">
        <v>195</v>
      </c>
      <c r="D40" s="24"/>
      <c r="E40" s="36"/>
      <c r="F40" s="36">
        <v>400000</v>
      </c>
      <c r="G40" s="36">
        <v>0</v>
      </c>
      <c r="H40" s="72">
        <v>0</v>
      </c>
      <c r="I40" s="11"/>
    </row>
    <row r="41" spans="1:9" s="10" customFormat="1" ht="112.5">
      <c r="A41" s="47"/>
      <c r="B41" s="78"/>
      <c r="C41" s="79" t="s">
        <v>196</v>
      </c>
      <c r="D41" s="24"/>
      <c r="E41" s="36"/>
      <c r="F41" s="36">
        <v>66000</v>
      </c>
      <c r="G41" s="36">
        <v>0</v>
      </c>
      <c r="H41" s="72">
        <v>0</v>
      </c>
      <c r="I41" s="11"/>
    </row>
    <row r="42" spans="1:9" s="10" customFormat="1" ht="114.75" customHeight="1">
      <c r="A42" s="195"/>
      <c r="B42" s="161" t="s">
        <v>97</v>
      </c>
      <c r="C42" s="162"/>
      <c r="D42" s="28">
        <v>2912300</v>
      </c>
      <c r="E42" s="28">
        <v>2899022.56</v>
      </c>
      <c r="F42" s="53">
        <f>F43+F44+F45+F46+F47+F48+F49+F50+F51+F52</f>
        <v>2811000</v>
      </c>
      <c r="G42" s="53">
        <f>G43+G44+G45+G46+G47+G48+G49+G50+G51+G52</f>
        <v>5586100</v>
      </c>
      <c r="H42" s="53">
        <f>H43+H44+H45+H46+H47+H48+H49+H50+H51+H52</f>
        <v>5585419.6299999999</v>
      </c>
      <c r="I42" s="56"/>
    </row>
    <row r="43" spans="1:9" s="10" customFormat="1" ht="268.5" customHeight="1">
      <c r="A43" s="196"/>
      <c r="B43" s="143" t="s">
        <v>12</v>
      </c>
      <c r="C43" s="63" t="s">
        <v>146</v>
      </c>
      <c r="D43" s="28"/>
      <c r="E43" s="28"/>
      <c r="F43" s="43">
        <v>784000</v>
      </c>
      <c r="G43" s="43">
        <f>205800+1350500</f>
        <v>1556300</v>
      </c>
      <c r="H43" s="53">
        <f>205800+1350500</f>
        <v>1556300</v>
      </c>
      <c r="I43" s="56" t="s">
        <v>147</v>
      </c>
    </row>
    <row r="44" spans="1:9" s="10" customFormat="1" ht="283.5" customHeight="1">
      <c r="A44" s="196"/>
      <c r="B44" s="167"/>
      <c r="C44" s="63" t="s">
        <v>148</v>
      </c>
      <c r="D44" s="28"/>
      <c r="E44" s="28"/>
      <c r="F44" s="43">
        <v>0</v>
      </c>
      <c r="G44" s="43">
        <f>198360.52+195407.91+214133.86+96299.54+210946.46+94866.11</f>
        <v>1010014.4</v>
      </c>
      <c r="H44" s="53">
        <f>198360.52+195407.91+214133.86+96299.54+210946.46+94866.11</f>
        <v>1010014.4</v>
      </c>
      <c r="I44" s="56" t="s">
        <v>149</v>
      </c>
    </row>
    <row r="45" spans="1:9" s="10" customFormat="1" ht="54.75" customHeight="1">
      <c r="A45" s="196"/>
      <c r="B45" s="167"/>
      <c r="C45" s="11" t="s">
        <v>151</v>
      </c>
      <c r="D45" s="28"/>
      <c r="E45" s="28"/>
      <c r="F45" s="43">
        <v>0</v>
      </c>
      <c r="G45" s="43">
        <f>199988.42+197011.58</f>
        <v>397000</v>
      </c>
      <c r="H45" s="53">
        <f>199988.42+197011.58</f>
        <v>397000</v>
      </c>
      <c r="I45" s="56" t="s">
        <v>152</v>
      </c>
    </row>
    <row r="46" spans="1:9" s="10" customFormat="1" ht="131.25">
      <c r="A46" s="196"/>
      <c r="B46" s="167"/>
      <c r="C46" s="60" t="s">
        <v>153</v>
      </c>
      <c r="D46" s="28"/>
      <c r="E46" s="28"/>
      <c r="F46" s="43">
        <v>0</v>
      </c>
      <c r="G46" s="43">
        <f>50022.29+49277.71</f>
        <v>99300</v>
      </c>
      <c r="H46" s="53">
        <v>99300</v>
      </c>
      <c r="I46" s="56" t="s">
        <v>154</v>
      </c>
    </row>
    <row r="47" spans="1:9" s="10" customFormat="1" ht="168.75">
      <c r="A47" s="196"/>
      <c r="B47" s="167"/>
      <c r="C47" s="60" t="s">
        <v>155</v>
      </c>
      <c r="D47" s="28"/>
      <c r="E47" s="28"/>
      <c r="F47" s="43">
        <v>0</v>
      </c>
      <c r="G47" s="43">
        <f>171217.09+168668.51</f>
        <v>339885.6</v>
      </c>
      <c r="H47" s="53">
        <v>339885.6</v>
      </c>
      <c r="I47" s="56" t="s">
        <v>156</v>
      </c>
    </row>
    <row r="48" spans="1:9" s="10" customFormat="1" ht="56.25">
      <c r="A48" s="196"/>
      <c r="B48" s="167"/>
      <c r="C48" s="60" t="s">
        <v>157</v>
      </c>
      <c r="D48" s="28"/>
      <c r="E48" s="28"/>
      <c r="F48" s="43">
        <v>100000</v>
      </c>
      <c r="G48" s="43">
        <v>198500</v>
      </c>
      <c r="H48" s="53">
        <v>198500</v>
      </c>
      <c r="I48" s="56" t="s">
        <v>158</v>
      </c>
    </row>
    <row r="49" spans="1:9" s="10" customFormat="1" ht="93.75">
      <c r="A49" s="196"/>
      <c r="B49" s="167"/>
      <c r="C49" s="60" t="s">
        <v>159</v>
      </c>
      <c r="D49" s="28"/>
      <c r="E49" s="28"/>
      <c r="F49" s="43">
        <v>57000</v>
      </c>
      <c r="G49" s="43">
        <v>113200</v>
      </c>
      <c r="H49" s="53">
        <v>113200</v>
      </c>
      <c r="I49" s="56" t="s">
        <v>160</v>
      </c>
    </row>
    <row r="50" spans="1:9" s="10" customFormat="1" ht="168.75">
      <c r="A50" s="196"/>
      <c r="B50" s="167"/>
      <c r="C50" s="11" t="s">
        <v>150</v>
      </c>
      <c r="D50" s="28"/>
      <c r="E50" s="28"/>
      <c r="F50" s="43">
        <v>70000</v>
      </c>
      <c r="G50" s="43">
        <v>71900</v>
      </c>
      <c r="H50" s="53">
        <v>71830.320000000007</v>
      </c>
      <c r="I50" s="56"/>
    </row>
    <row r="51" spans="1:9" s="10" customFormat="1">
      <c r="A51" s="196"/>
      <c r="B51" s="167"/>
      <c r="C51" s="62" t="s">
        <v>144</v>
      </c>
      <c r="D51" s="28"/>
      <c r="E51" s="28"/>
      <c r="F51" s="43">
        <v>300000</v>
      </c>
      <c r="G51" s="43">
        <v>300000</v>
      </c>
      <c r="H51" s="53">
        <v>300000</v>
      </c>
      <c r="I51" s="56"/>
    </row>
    <row r="52" spans="1:9" s="10" customFormat="1" ht="37.5">
      <c r="A52" s="196"/>
      <c r="B52" s="167"/>
      <c r="C52" s="11" t="s">
        <v>145</v>
      </c>
      <c r="D52" s="28"/>
      <c r="E52" s="28"/>
      <c r="F52" s="43">
        <v>1500000</v>
      </c>
      <c r="G52" s="43">
        <v>1500000</v>
      </c>
      <c r="H52" s="53">
        <v>1499389.31</v>
      </c>
      <c r="I52" s="56"/>
    </row>
    <row r="53" spans="1:9" s="10" customFormat="1" ht="96" customHeight="1">
      <c r="A53" s="131"/>
      <c r="B53" s="165" t="s">
        <v>98</v>
      </c>
      <c r="C53" s="166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132661800</v>
      </c>
      <c r="G53" s="42">
        <f>G54+G55+G56+G57+G58+G59+G60+G61+G62+G63+G64+G65+G66+G67</f>
        <v>258514300</v>
      </c>
      <c r="H53" s="42">
        <f>H54+H55+H56+H57+H58+H59+H60+H61+H62+H63+H64+H65+H66+H67+179.97</f>
        <v>258372879.23999998</v>
      </c>
      <c r="I53" s="70"/>
    </row>
    <row r="54" spans="1:9" s="10" customFormat="1" ht="131.25">
      <c r="A54" s="132"/>
      <c r="B54" s="143" t="s">
        <v>12</v>
      </c>
      <c r="C54" s="67" t="s">
        <v>161</v>
      </c>
      <c r="D54" s="64"/>
      <c r="E54" s="64"/>
      <c r="F54" s="65">
        <v>50000</v>
      </c>
      <c r="G54" s="65">
        <v>50000</v>
      </c>
      <c r="H54" s="73">
        <v>50000</v>
      </c>
      <c r="I54" s="60"/>
    </row>
    <row r="55" spans="1:9" s="10" customFormat="1" ht="56.25">
      <c r="A55" s="132"/>
      <c r="B55" s="167"/>
      <c r="C55" s="67" t="s">
        <v>162</v>
      </c>
      <c r="D55" s="64"/>
      <c r="E55" s="64"/>
      <c r="F55" s="65">
        <v>30000</v>
      </c>
      <c r="G55" s="65">
        <v>20000</v>
      </c>
      <c r="H55" s="73">
        <v>16792.13</v>
      </c>
      <c r="I55" s="60"/>
    </row>
    <row r="56" spans="1:9" s="10" customFormat="1" ht="75">
      <c r="A56" s="132"/>
      <c r="B56" s="167"/>
      <c r="C56" s="67" t="s">
        <v>163</v>
      </c>
      <c r="D56" s="64"/>
      <c r="E56" s="64"/>
      <c r="F56" s="65">
        <v>2000000</v>
      </c>
      <c r="G56" s="65">
        <v>2000000</v>
      </c>
      <c r="H56" s="73">
        <f>104500+1895478</f>
        <v>1999978</v>
      </c>
      <c r="I56" s="60"/>
    </row>
    <row r="57" spans="1:9" s="10" customFormat="1" ht="75">
      <c r="A57" s="132"/>
      <c r="B57" s="167"/>
      <c r="C57" s="67" t="s">
        <v>165</v>
      </c>
      <c r="D57" s="64"/>
      <c r="E57" s="64"/>
      <c r="F57" s="65">
        <v>0</v>
      </c>
      <c r="G57" s="65">
        <v>2365400</v>
      </c>
      <c r="H57" s="73">
        <v>2365400</v>
      </c>
      <c r="I57" s="66"/>
    </row>
    <row r="58" spans="1:9" s="10" customFormat="1" ht="56.25">
      <c r="A58" s="132"/>
      <c r="B58" s="167"/>
      <c r="C58" s="67" t="s">
        <v>164</v>
      </c>
      <c r="D58" s="64"/>
      <c r="E58" s="64"/>
      <c r="F58" s="65">
        <v>5704800</v>
      </c>
      <c r="G58" s="65">
        <v>6138800</v>
      </c>
      <c r="H58" s="73">
        <f>6023966.72-1806.7</f>
        <v>6022160.0199999996</v>
      </c>
      <c r="I58" s="66"/>
    </row>
    <row r="59" spans="1:9" s="10" customFormat="1" ht="93.75">
      <c r="A59" s="132"/>
      <c r="B59" s="167"/>
      <c r="C59" s="67" t="s">
        <v>166</v>
      </c>
      <c r="D59" s="64"/>
      <c r="E59" s="64"/>
      <c r="F59" s="65">
        <v>1300000</v>
      </c>
      <c r="G59" s="65">
        <v>1300000</v>
      </c>
      <c r="H59" s="73">
        <v>1299511.82</v>
      </c>
      <c r="I59" s="60"/>
    </row>
    <row r="60" spans="1:9" s="10" customFormat="1" ht="106.5" customHeight="1">
      <c r="A60" s="132"/>
      <c r="B60" s="167"/>
      <c r="C60" s="67" t="s">
        <v>167</v>
      </c>
      <c r="D60" s="64"/>
      <c r="E60" s="64"/>
      <c r="F60" s="65">
        <v>700000</v>
      </c>
      <c r="G60" s="65">
        <v>700000</v>
      </c>
      <c r="H60" s="73">
        <v>678757.3</v>
      </c>
      <c r="I60" s="60"/>
    </row>
    <row r="61" spans="1:9" s="10" customFormat="1" ht="56.25">
      <c r="A61" s="132"/>
      <c r="B61" s="167"/>
      <c r="C61" s="67" t="s">
        <v>168</v>
      </c>
      <c r="D61" s="64"/>
      <c r="E61" s="64"/>
      <c r="F61" s="65">
        <v>0</v>
      </c>
      <c r="G61" s="65">
        <v>350100</v>
      </c>
      <c r="H61" s="73">
        <f>16300+216993.3+1806.7+7700+107300</f>
        <v>350100</v>
      </c>
      <c r="I61" s="11" t="s">
        <v>169</v>
      </c>
    </row>
    <row r="62" spans="1:9" s="10" customFormat="1" ht="56.25">
      <c r="A62" s="132"/>
      <c r="B62" s="167"/>
      <c r="C62" s="67" t="s">
        <v>170</v>
      </c>
      <c r="D62" s="64"/>
      <c r="E62" s="64"/>
      <c r="F62" s="65">
        <v>150000</v>
      </c>
      <c r="G62" s="65">
        <v>75000</v>
      </c>
      <c r="H62" s="73">
        <v>75000</v>
      </c>
      <c r="I62" s="60"/>
    </row>
    <row r="63" spans="1:9" s="10" customFormat="1" ht="56.25">
      <c r="A63" s="132"/>
      <c r="B63" s="167"/>
      <c r="C63" s="67" t="s">
        <v>171</v>
      </c>
      <c r="D63" s="64"/>
      <c r="E63" s="64"/>
      <c r="F63" s="65">
        <v>100000</v>
      </c>
      <c r="G63" s="65">
        <v>60000</v>
      </c>
      <c r="H63" s="73">
        <v>60000</v>
      </c>
      <c r="I63" s="60"/>
    </row>
    <row r="64" spans="1:9" s="10" customFormat="1" ht="37.5">
      <c r="A64" s="132"/>
      <c r="B64" s="167"/>
      <c r="C64" s="67" t="s">
        <v>172</v>
      </c>
      <c r="D64" s="64"/>
      <c r="E64" s="64"/>
      <c r="F64" s="65">
        <v>50000</v>
      </c>
      <c r="G64" s="65">
        <v>0</v>
      </c>
      <c r="H64" s="73">
        <v>0</v>
      </c>
      <c r="I64" s="60"/>
    </row>
    <row r="65" spans="1:9" s="10" customFormat="1" ht="56.25">
      <c r="A65" s="132"/>
      <c r="B65" s="167"/>
      <c r="C65" s="67" t="s">
        <v>173</v>
      </c>
      <c r="D65" s="64"/>
      <c r="E65" s="64"/>
      <c r="F65" s="65">
        <v>100000</v>
      </c>
      <c r="G65" s="65">
        <v>0</v>
      </c>
      <c r="H65" s="73">
        <v>0</v>
      </c>
      <c r="I65" s="60"/>
    </row>
    <row r="66" spans="1:9" s="10" customFormat="1" ht="60" customHeight="1">
      <c r="A66" s="132"/>
      <c r="B66" s="167"/>
      <c r="C66" s="68" t="s">
        <v>55</v>
      </c>
      <c r="D66" s="61">
        <v>5000000</v>
      </c>
      <c r="E66" s="61">
        <v>5000000</v>
      </c>
      <c r="F66" s="65">
        <v>10000000</v>
      </c>
      <c r="G66" s="65">
        <f>54320.98+9945679.02+42400000</f>
        <v>52400000</v>
      </c>
      <c r="H66" s="73">
        <f>54320.98+9945679.02+42400000</f>
        <v>52400000</v>
      </c>
      <c r="I66" s="11" t="s">
        <v>174</v>
      </c>
    </row>
    <row r="67" spans="1:9" s="10" customFormat="1" ht="37.5">
      <c r="A67" s="133"/>
      <c r="B67" s="144"/>
      <c r="C67" s="69" t="s">
        <v>23</v>
      </c>
      <c r="D67" s="12">
        <f>60500000+242578000</f>
        <v>303078000</v>
      </c>
      <c r="E67" s="12">
        <f>60500000+162000000</f>
        <v>222500000</v>
      </c>
      <c r="F67" s="43">
        <v>112477000</v>
      </c>
      <c r="G67" s="43">
        <f>65153412.69+47323587.31+80578000</f>
        <v>193055000</v>
      </c>
      <c r="H67" s="53">
        <f>65153412.69+47323587.31+80578000</f>
        <v>193055000</v>
      </c>
      <c r="I67" s="11" t="s">
        <v>175</v>
      </c>
    </row>
    <row r="68" spans="1:9" s="10" customFormat="1" ht="86.25" customHeight="1">
      <c r="A68" s="131"/>
      <c r="B68" s="161" t="s">
        <v>41</v>
      </c>
      <c r="C68" s="162"/>
      <c r="D68" s="28">
        <f>2120000+160000+117000+72000</f>
        <v>2469000</v>
      </c>
      <c r="E68" s="28">
        <f>2120000+160000+117000+72000</f>
        <v>2469000</v>
      </c>
      <c r="F68" s="77">
        <f>F69+F70+F71+F72+F73+F74+F75+F76+F77+F78+F79+F80+F81+F82+F83+F84+F90+F91</f>
        <v>607116300</v>
      </c>
      <c r="G68" s="43">
        <f>G69+G70+G71+G72+G73+G74+G75+G76+G77+G78+G79+G80+G81+G82+G83+G84+G90+G91</f>
        <v>822936815.12</v>
      </c>
      <c r="H68" s="53">
        <f>H69+H70+H71+H72+H73+H74+H75+H76+H77+H78+H79+H80+H81+H82+H83+H84+H90+H91</f>
        <v>822862222.12</v>
      </c>
      <c r="I68" s="11"/>
    </row>
    <row r="69" spans="1:9" s="10" customFormat="1" ht="37.5">
      <c r="A69" s="132"/>
      <c r="B69" s="192" t="s">
        <v>135</v>
      </c>
      <c r="C69" s="11" t="s">
        <v>26</v>
      </c>
      <c r="D69" s="12">
        <v>100375000</v>
      </c>
      <c r="E69" s="12">
        <v>100375000</v>
      </c>
      <c r="F69" s="43">
        <v>105000000</v>
      </c>
      <c r="G69" s="43">
        <v>142425500</v>
      </c>
      <c r="H69" s="53">
        <f>10010+142415490</f>
        <v>142425500</v>
      </c>
      <c r="I69" s="13"/>
    </row>
    <row r="70" spans="1:9" s="10" customFormat="1" ht="37.5">
      <c r="A70" s="132"/>
      <c r="B70" s="193"/>
      <c r="C70" s="11" t="s">
        <v>8</v>
      </c>
      <c r="D70" s="12">
        <v>15000</v>
      </c>
      <c r="E70" s="12">
        <v>0</v>
      </c>
      <c r="F70" s="43">
        <v>30000</v>
      </c>
      <c r="G70" s="43">
        <v>0</v>
      </c>
      <c r="H70" s="53">
        <v>0</v>
      </c>
      <c r="I70" s="13"/>
    </row>
    <row r="71" spans="1:9" s="10" customFormat="1" ht="37.5">
      <c r="A71" s="132"/>
      <c r="B71" s="193"/>
      <c r="C71" s="11" t="s">
        <v>9</v>
      </c>
      <c r="D71" s="12">
        <v>600000</v>
      </c>
      <c r="E71" s="12">
        <v>600000</v>
      </c>
      <c r="F71" s="43">
        <v>600000</v>
      </c>
      <c r="G71" s="43">
        <v>600000</v>
      </c>
      <c r="H71" s="53">
        <v>600000</v>
      </c>
      <c r="I71" s="13"/>
    </row>
    <row r="72" spans="1:9" s="10" customFormat="1" ht="56.25">
      <c r="A72" s="132"/>
      <c r="B72" s="193"/>
      <c r="C72" s="23" t="s">
        <v>20</v>
      </c>
      <c r="D72" s="12">
        <f>221495400+183735800</f>
        <v>405231200</v>
      </c>
      <c r="E72" s="12">
        <f>221495400+183735800</f>
        <v>405231200</v>
      </c>
      <c r="F72" s="43">
        <v>266028200</v>
      </c>
      <c r="G72" s="43">
        <f>264776200+172870400</f>
        <v>437646600</v>
      </c>
      <c r="H72" s="53">
        <f>264776200+172870400</f>
        <v>437646600</v>
      </c>
      <c r="I72" s="11" t="s">
        <v>181</v>
      </c>
    </row>
    <row r="73" spans="1:9" s="10" customFormat="1" ht="56.25">
      <c r="A73" s="132"/>
      <c r="B73" s="193"/>
      <c r="C73" s="22" t="s">
        <v>10</v>
      </c>
      <c r="D73" s="12">
        <f>44300+1000</f>
        <v>45300</v>
      </c>
      <c r="E73" s="12">
        <v>0</v>
      </c>
      <c r="F73" s="43">
        <v>58600</v>
      </c>
      <c r="G73" s="43">
        <v>33600</v>
      </c>
      <c r="H73" s="53">
        <v>0</v>
      </c>
      <c r="I73" s="11" t="s">
        <v>187</v>
      </c>
    </row>
    <row r="74" spans="1:9" s="10" customFormat="1" ht="56.25">
      <c r="A74" s="132"/>
      <c r="B74" s="193"/>
      <c r="C74" s="22" t="s">
        <v>56</v>
      </c>
      <c r="D74" s="12">
        <f>38313700+13169600</f>
        <v>51483300</v>
      </c>
      <c r="E74" s="12">
        <f>38313700+13169600</f>
        <v>51483300</v>
      </c>
      <c r="F74" s="43">
        <v>38313700</v>
      </c>
      <c r="G74" s="43">
        <v>38313700</v>
      </c>
      <c r="H74" s="53">
        <v>38313700</v>
      </c>
      <c r="I74" s="11"/>
    </row>
    <row r="75" spans="1:9" s="10" customFormat="1" ht="93.75">
      <c r="A75" s="132"/>
      <c r="B75" s="193"/>
      <c r="C75" s="34" t="s">
        <v>34</v>
      </c>
      <c r="D75" s="13">
        <v>38100</v>
      </c>
      <c r="E75" s="36">
        <v>12855.37</v>
      </c>
      <c r="F75" s="71">
        <v>39700</v>
      </c>
      <c r="G75" s="71">
        <v>39700</v>
      </c>
      <c r="H75" s="74">
        <v>0</v>
      </c>
      <c r="I75" s="11" t="s">
        <v>176</v>
      </c>
    </row>
    <row r="76" spans="1:9" s="10" customFormat="1" ht="112.5">
      <c r="A76" s="132"/>
      <c r="B76" s="193"/>
      <c r="C76" s="34" t="s">
        <v>35</v>
      </c>
      <c r="D76" s="24">
        <v>4036300</v>
      </c>
      <c r="E76" s="36">
        <v>3469266.14</v>
      </c>
      <c r="F76" s="71">
        <v>4277800</v>
      </c>
      <c r="G76" s="74">
        <v>4403815.12</v>
      </c>
      <c r="H76" s="74">
        <v>4403815.12</v>
      </c>
      <c r="I76" s="11" t="s">
        <v>177</v>
      </c>
    </row>
    <row r="77" spans="1:9" s="10" customFormat="1" ht="75">
      <c r="A77" s="132"/>
      <c r="B77" s="193"/>
      <c r="C77" s="34" t="s">
        <v>178</v>
      </c>
      <c r="D77" s="24"/>
      <c r="E77" s="36"/>
      <c r="F77" s="71">
        <v>0</v>
      </c>
      <c r="G77" s="71">
        <v>1500000</v>
      </c>
      <c r="H77" s="74">
        <v>1498707</v>
      </c>
      <c r="I77" s="11"/>
    </row>
    <row r="78" spans="1:9" s="10" customFormat="1" ht="56.25">
      <c r="A78" s="132"/>
      <c r="B78" s="193"/>
      <c r="C78" s="34" t="s">
        <v>179</v>
      </c>
      <c r="D78" s="24"/>
      <c r="E78" s="36"/>
      <c r="F78" s="71">
        <v>0</v>
      </c>
      <c r="G78" s="71">
        <v>700000</v>
      </c>
      <c r="H78" s="74">
        <v>700000</v>
      </c>
      <c r="I78" s="11"/>
    </row>
    <row r="79" spans="1:9" s="10" customFormat="1" ht="56.25">
      <c r="A79" s="132"/>
      <c r="B79" s="193"/>
      <c r="C79" s="34" t="s">
        <v>180</v>
      </c>
      <c r="D79" s="24"/>
      <c r="E79" s="36"/>
      <c r="F79" s="71">
        <v>1796600</v>
      </c>
      <c r="G79" s="71">
        <v>420000</v>
      </c>
      <c r="H79" s="74">
        <v>420000</v>
      </c>
      <c r="I79" s="11"/>
    </row>
    <row r="80" spans="1:9" s="10" customFormat="1" ht="56.25">
      <c r="A80" s="132"/>
      <c r="B80" s="193"/>
      <c r="C80" s="34" t="s">
        <v>183</v>
      </c>
      <c r="D80" s="24"/>
      <c r="E80" s="36"/>
      <c r="F80" s="71">
        <v>110000</v>
      </c>
      <c r="G80" s="71">
        <v>110000</v>
      </c>
      <c r="H80" s="74">
        <v>110000</v>
      </c>
      <c r="I80" s="11"/>
    </row>
    <row r="81" spans="1:9" s="10" customFormat="1" ht="93.75">
      <c r="A81" s="132"/>
      <c r="B81" s="193"/>
      <c r="C81" s="34" t="s">
        <v>184</v>
      </c>
      <c r="D81" s="24"/>
      <c r="E81" s="36"/>
      <c r="F81" s="71">
        <v>55000</v>
      </c>
      <c r="G81" s="71">
        <v>55000</v>
      </c>
      <c r="H81" s="74">
        <v>55000</v>
      </c>
      <c r="I81" s="11"/>
    </row>
    <row r="82" spans="1:9" s="10" customFormat="1" ht="93.75">
      <c r="A82" s="132"/>
      <c r="B82" s="193"/>
      <c r="C82" s="34" t="s">
        <v>185</v>
      </c>
      <c r="D82" s="24"/>
      <c r="E82" s="36"/>
      <c r="F82" s="71">
        <v>20000</v>
      </c>
      <c r="G82" s="71">
        <v>20000</v>
      </c>
      <c r="H82" s="74">
        <v>20000</v>
      </c>
      <c r="I82" s="11"/>
    </row>
    <row r="83" spans="1:9" s="10" customFormat="1" ht="62.25" customHeight="1">
      <c r="A83" s="132"/>
      <c r="B83" s="193"/>
      <c r="C83" s="34" t="s">
        <v>186</v>
      </c>
      <c r="D83" s="24"/>
      <c r="E83" s="36"/>
      <c r="F83" s="71">
        <v>45000</v>
      </c>
      <c r="G83" s="71">
        <v>44000</v>
      </c>
      <c r="H83" s="74">
        <v>44000</v>
      </c>
      <c r="I83" s="11"/>
    </row>
    <row r="84" spans="1:9" s="10" customFormat="1" ht="131.25">
      <c r="A84" s="133"/>
      <c r="B84" s="193"/>
      <c r="C84" s="34" t="s">
        <v>36</v>
      </c>
      <c r="D84" s="24">
        <v>188484500</v>
      </c>
      <c r="E84" s="36">
        <v>188484500</v>
      </c>
      <c r="F84" s="71">
        <v>190679700</v>
      </c>
      <c r="G84" s="71">
        <v>196562900</v>
      </c>
      <c r="H84" s="74">
        <v>196562900</v>
      </c>
      <c r="I84" s="11" t="s">
        <v>182</v>
      </c>
    </row>
    <row r="85" spans="1:9" s="10" customFormat="1" ht="18.75" hidden="1" customHeight="1">
      <c r="A85" s="30">
        <v>5</v>
      </c>
      <c r="B85" s="193"/>
      <c r="C85" s="16" t="s">
        <v>1</v>
      </c>
      <c r="D85" s="9">
        <f>D86+D87+D89+D88</f>
        <v>0</v>
      </c>
      <c r="E85" s="9"/>
      <c r="F85" s="51"/>
      <c r="G85" s="51"/>
      <c r="H85" s="53"/>
      <c r="I85" s="13"/>
    </row>
    <row r="86" spans="1:9" s="26" customFormat="1" ht="37.5" hidden="1" customHeight="1">
      <c r="A86" s="33"/>
      <c r="B86" s="193"/>
      <c r="C86" s="25" t="s">
        <v>2</v>
      </c>
      <c r="D86" s="19"/>
      <c r="E86" s="19"/>
      <c r="F86" s="52"/>
      <c r="G86" s="52"/>
      <c r="H86" s="53"/>
      <c r="I86" s="18"/>
    </row>
    <row r="87" spans="1:9" s="26" customFormat="1" ht="33.6" hidden="1" customHeight="1">
      <c r="A87" s="33"/>
      <c r="B87" s="193"/>
      <c r="C87" s="25" t="s">
        <v>3</v>
      </c>
      <c r="D87" s="19"/>
      <c r="E87" s="19"/>
      <c r="F87" s="52"/>
      <c r="G87" s="52"/>
      <c r="H87" s="53"/>
      <c r="I87" s="18"/>
    </row>
    <row r="88" spans="1:9" s="10" customFormat="1" ht="33.6" hidden="1" customHeight="1">
      <c r="A88" s="32"/>
      <c r="B88" s="193"/>
      <c r="C88" s="27"/>
      <c r="D88" s="12"/>
      <c r="E88" s="12"/>
      <c r="F88" s="43"/>
      <c r="G88" s="43"/>
      <c r="H88" s="53"/>
      <c r="I88" s="13"/>
    </row>
    <row r="89" spans="1:9" s="10" customFormat="1" ht="32.450000000000003" hidden="1" customHeight="1">
      <c r="A89" s="32"/>
      <c r="B89" s="193"/>
      <c r="C89" s="27"/>
      <c r="D89" s="12"/>
      <c r="E89" s="28"/>
      <c r="F89" s="43"/>
      <c r="G89" s="43"/>
      <c r="H89" s="53"/>
      <c r="I89" s="13"/>
    </row>
    <row r="90" spans="1:9" s="10" customFormat="1" ht="112.5">
      <c r="A90" s="32"/>
      <c r="B90" s="193"/>
      <c r="C90" s="27" t="s">
        <v>188</v>
      </c>
      <c r="D90" s="12"/>
      <c r="E90" s="28"/>
      <c r="F90" s="43">
        <v>46000</v>
      </c>
      <c r="G90" s="43">
        <v>46000</v>
      </c>
      <c r="H90" s="53">
        <v>46000</v>
      </c>
      <c r="I90" s="13"/>
    </row>
    <row r="91" spans="1:9" s="10" customFormat="1" ht="93.75" customHeight="1">
      <c r="A91" s="32"/>
      <c r="B91" s="194"/>
      <c r="C91" s="27" t="s">
        <v>189</v>
      </c>
      <c r="D91" s="12"/>
      <c r="E91" s="28"/>
      <c r="F91" s="43">
        <v>16000</v>
      </c>
      <c r="G91" s="43">
        <v>16000</v>
      </c>
      <c r="H91" s="53">
        <v>16000</v>
      </c>
      <c r="I91" s="13"/>
    </row>
    <row r="92" spans="1:9" s="10" customFormat="1" ht="66.75" customHeight="1">
      <c r="A92" s="38">
        <v>5</v>
      </c>
      <c r="B92" s="141" t="s">
        <v>22</v>
      </c>
      <c r="C92" s="142"/>
      <c r="D92" s="9">
        <v>33309103</v>
      </c>
      <c r="E92" s="9">
        <v>33309102.949999999</v>
      </c>
      <c r="F92" s="51">
        <v>42640000</v>
      </c>
      <c r="G92" s="51">
        <v>43440000</v>
      </c>
      <c r="H92" s="51">
        <v>43355964.380000003</v>
      </c>
      <c r="I92" s="13"/>
    </row>
    <row r="93" spans="1:9" s="10" customFormat="1" ht="144" customHeight="1">
      <c r="A93" s="39">
        <v>6</v>
      </c>
      <c r="B93" s="139" t="s">
        <v>43</v>
      </c>
      <c r="C93" s="139"/>
      <c r="D93" s="40">
        <v>3152500</v>
      </c>
      <c r="E93" s="40">
        <v>3130229.34</v>
      </c>
      <c r="F93" s="54">
        <v>3349200</v>
      </c>
      <c r="G93" s="54">
        <v>3349200</v>
      </c>
      <c r="H93" s="54">
        <v>2829352.61</v>
      </c>
      <c r="I93" s="13"/>
    </row>
    <row r="94" spans="1:9" s="10" customFormat="1" ht="68.25" customHeight="1">
      <c r="A94" s="39">
        <v>7</v>
      </c>
      <c r="B94" s="140" t="s">
        <v>102</v>
      </c>
      <c r="C94" s="140"/>
      <c r="D94" s="41">
        <v>2633900</v>
      </c>
      <c r="E94" s="41">
        <v>1740839.97</v>
      </c>
      <c r="F94" s="54">
        <v>0</v>
      </c>
      <c r="G94" s="54">
        <v>99200</v>
      </c>
      <c r="H94" s="54">
        <v>85277.09</v>
      </c>
      <c r="I94" s="11"/>
    </row>
    <row r="95" spans="1:9" s="10" customFormat="1" ht="60" customHeight="1">
      <c r="A95" s="39">
        <v>8</v>
      </c>
      <c r="B95" s="160" t="s">
        <v>127</v>
      </c>
      <c r="C95" s="160"/>
      <c r="D95" s="41">
        <v>100000</v>
      </c>
      <c r="E95" s="41">
        <v>100000</v>
      </c>
      <c r="F95" s="54">
        <v>0</v>
      </c>
      <c r="G95" s="54">
        <v>7240000</v>
      </c>
      <c r="H95" s="54">
        <v>7240000</v>
      </c>
      <c r="I95" s="11" t="s">
        <v>190</v>
      </c>
    </row>
    <row r="96" spans="1:9" s="10" customFormat="1" ht="60" customHeight="1">
      <c r="A96" s="38">
        <v>9</v>
      </c>
      <c r="B96" s="75"/>
      <c r="C96" s="76" t="s">
        <v>194</v>
      </c>
      <c r="D96" s="41"/>
      <c r="E96" s="41"/>
      <c r="F96" s="54">
        <v>0</v>
      </c>
      <c r="G96" s="54">
        <v>35065800</v>
      </c>
      <c r="H96" s="54">
        <v>34277688.939999998</v>
      </c>
      <c r="I96" s="11"/>
    </row>
    <row r="97" spans="1:9" s="10" customFormat="1" ht="39" customHeight="1">
      <c r="A97" s="31"/>
      <c r="B97" s="147" t="s">
        <v>58</v>
      </c>
      <c r="C97" s="148"/>
      <c r="D97" s="58" t="e">
        <f>D4+D8+D14+D20+#REF!+D92+D93+D94+D95</f>
        <v>#REF!</v>
      </c>
      <c r="E97" s="58" t="e">
        <f>E4+E8+E14+E20+#REF!+E92+E93+E94+E95</f>
        <v>#REF!</v>
      </c>
      <c r="F97" s="59">
        <f>F4+F8+F14+F20+F92+F93+F94+F95+F96</f>
        <v>2892353600</v>
      </c>
      <c r="G97" s="59">
        <f>G4+G8+G14+G20+G92+G93+G94+G95+G96</f>
        <v>3178978165.1199999</v>
      </c>
      <c r="H97" s="59">
        <f>H4+H8+H14+H20+H92+H93+H94+H95+H96</f>
        <v>3056085814.9600005</v>
      </c>
      <c r="I97" s="35">
        <f>F97-2892353600</f>
        <v>0</v>
      </c>
    </row>
    <row r="98" spans="1:9" s="10" customFormat="1">
      <c r="C98" s="29"/>
    </row>
    <row r="99" spans="1:9" s="10" customFormat="1"/>
    <row r="100" spans="1:9" s="10" customFormat="1"/>
    <row r="111" spans="1:9">
      <c r="C111" s="4"/>
    </row>
    <row r="113" spans="3:3">
      <c r="C113" s="4"/>
    </row>
    <row r="710" spans="5:8">
      <c r="E710" s="2"/>
      <c r="F710" s="2"/>
      <c r="G710" s="2"/>
      <c r="H710" s="2"/>
    </row>
  </sheetData>
  <mergeCells count="42"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A53:A67"/>
    <mergeCell ref="A42:A52"/>
    <mergeCell ref="B9:B13"/>
    <mergeCell ref="A14:A19"/>
    <mergeCell ref="I14:I19"/>
    <mergeCell ref="B15:B19"/>
    <mergeCell ref="B20:C20"/>
    <mergeCell ref="B25:C25"/>
    <mergeCell ref="A8:A13"/>
    <mergeCell ref="B8:C8"/>
    <mergeCell ref="I8:I13"/>
    <mergeCell ref="B54:B67"/>
    <mergeCell ref="B27:C27"/>
    <mergeCell ref="B28:B39"/>
    <mergeCell ref="B42:C42"/>
    <mergeCell ref="B53:C53"/>
    <mergeCell ref="B43:B52"/>
    <mergeCell ref="B21:C21"/>
    <mergeCell ref="B22:C22"/>
    <mergeCell ref="B23:C23"/>
    <mergeCell ref="B24:C24"/>
    <mergeCell ref="B26:C26"/>
    <mergeCell ref="B94:C94"/>
    <mergeCell ref="B95:C95"/>
    <mergeCell ref="B97:C97"/>
    <mergeCell ref="A68:A84"/>
    <mergeCell ref="B68:C68"/>
    <mergeCell ref="B92:C92"/>
    <mergeCell ref="B93:C93"/>
    <mergeCell ref="B69:B91"/>
  </mergeCells>
  <pageMargins left="0.15748031496062992" right="0.15748031496062992" top="0.19685039370078741" bottom="0.19685039370078741" header="0.15748031496062992" footer="0.15748031496062992"/>
  <pageSetup paperSize="9" scale="56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6"/>
  <sheetViews>
    <sheetView view="pageBreakPreview" topLeftCell="C56" zoomScale="60" zoomScaleNormal="60" workbookViewId="0">
      <selection activeCell="H66" sqref="H66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10" ht="27.4" customHeight="1">
      <c r="C1" s="5" t="s">
        <v>199</v>
      </c>
    </row>
    <row r="2" spans="1:10" s="6" customFormat="1" ht="139.5" customHeight="1">
      <c r="A2" s="145"/>
      <c r="B2" s="172" t="s">
        <v>0</v>
      </c>
      <c r="C2" s="173"/>
      <c r="D2" s="168" t="s">
        <v>14</v>
      </c>
      <c r="E2" s="170" t="s">
        <v>84</v>
      </c>
      <c r="F2" s="168" t="s">
        <v>198</v>
      </c>
      <c r="G2" s="168" t="s">
        <v>223</v>
      </c>
      <c r="H2" s="170" t="s">
        <v>222</v>
      </c>
      <c r="I2" s="149" t="s">
        <v>59</v>
      </c>
    </row>
    <row r="3" spans="1:10" s="6" customFormat="1" ht="8.25" customHeight="1">
      <c r="A3" s="146"/>
      <c r="B3" s="174"/>
      <c r="C3" s="175"/>
      <c r="D3" s="169"/>
      <c r="E3" s="171"/>
      <c r="F3" s="169"/>
      <c r="G3" s="169"/>
      <c r="H3" s="171"/>
      <c r="I3" s="150"/>
    </row>
    <row r="4" spans="1:10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51">
        <f>F5+F6+F7</f>
        <v>38043800</v>
      </c>
      <c r="G4" s="51">
        <f>G5+G6+G7</f>
        <v>37713800</v>
      </c>
      <c r="H4" s="51">
        <f>H5+H6+H7</f>
        <v>8539646.7200000007</v>
      </c>
      <c r="I4" s="151" t="s">
        <v>60</v>
      </c>
    </row>
    <row r="5" spans="1:10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34423900</v>
      </c>
      <c r="G5" s="35">
        <v>34423900</v>
      </c>
      <c r="H5" s="87">
        <f>5548708.34+1644528.58</f>
        <v>7193236.9199999999</v>
      </c>
      <c r="I5" s="152"/>
    </row>
    <row r="6" spans="1:10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168600</v>
      </c>
      <c r="G6" s="35">
        <v>168600</v>
      </c>
      <c r="H6" s="87">
        <v>0</v>
      </c>
      <c r="I6" s="152"/>
    </row>
    <row r="7" spans="1:10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3451300</v>
      </c>
      <c r="G7" s="35">
        <f>3451300-330000</f>
        <v>3121300</v>
      </c>
      <c r="H7" s="87">
        <f>1167658.6+163751.2+15000</f>
        <v>1346409.8</v>
      </c>
      <c r="I7" s="153"/>
    </row>
    <row r="8" spans="1:10" s="10" customFormat="1" ht="30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E9+E10+E11+E12+E13</f>
        <v>934075828.82000005</v>
      </c>
      <c r="F8" s="51">
        <f>F9+F10+F11+F12+F13</f>
        <v>1057470000</v>
      </c>
      <c r="G8" s="51">
        <f>G9+G10+G11+G12+G13</f>
        <v>1061536800</v>
      </c>
      <c r="H8" s="51">
        <f>H9+H10+H11+H12+H13</f>
        <v>259320624.59</v>
      </c>
      <c r="I8" s="151" t="s">
        <v>224</v>
      </c>
    </row>
    <row r="9" spans="1:10" s="10" customFormat="1" ht="32.2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v>808194600</v>
      </c>
      <c r="G9" s="55">
        <v>808194600</v>
      </c>
      <c r="H9" s="87">
        <v>209302100</v>
      </c>
      <c r="I9" s="152"/>
    </row>
    <row r="10" spans="1:10" s="10" customFormat="1" ht="35.2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v>116183300</v>
      </c>
      <c r="G10" s="55">
        <v>116183300</v>
      </c>
      <c r="H10" s="87">
        <v>30339200</v>
      </c>
      <c r="I10" s="152"/>
    </row>
    <row r="11" spans="1:10" s="10" customFormat="1" ht="32.2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55">
        <v>91638300</v>
      </c>
      <c r="G11" s="55">
        <v>91638300</v>
      </c>
      <c r="H11" s="87">
        <v>15578400</v>
      </c>
      <c r="I11" s="152"/>
    </row>
    <row r="12" spans="1:10" s="10" customFormat="1" ht="32.2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55">
        <f>755800+7236200</f>
        <v>7992000</v>
      </c>
      <c r="G12" s="55">
        <f>755800+7236200</f>
        <v>7992000</v>
      </c>
      <c r="H12" s="87">
        <v>1796700</v>
      </c>
      <c r="I12" s="152"/>
    </row>
    <row r="13" spans="1:10" s="10" customFormat="1" ht="4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v>33461800</v>
      </c>
      <c r="G13" s="35">
        <v>37528600</v>
      </c>
      <c r="H13" s="87">
        <f>97308.1+679943.36+33025059+215635083+41937+378-H10-H11-H12-H9+7568460.25+2272635.85-179.97</f>
        <v>2304224.5900000082</v>
      </c>
      <c r="I13" s="153"/>
    </row>
    <row r="14" spans="1:10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51">
        <f>F15+F16+F17+F18+F19</f>
        <v>66063200</v>
      </c>
      <c r="G14" s="51">
        <f>G15+G16+G17+G18+G19</f>
        <v>74633700</v>
      </c>
      <c r="H14" s="51">
        <f>H15+H16+H17+H18+H19</f>
        <v>17186631.849999998</v>
      </c>
      <c r="I14" s="154" t="s">
        <v>62</v>
      </c>
    </row>
    <row r="15" spans="1:10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v>53774100</v>
      </c>
      <c r="G15" s="35">
        <f>53774100+2606500</f>
        <v>56380600</v>
      </c>
      <c r="H15" s="87">
        <f>10677095.79+3189200</f>
        <v>13866295.789999999</v>
      </c>
      <c r="I15" s="155"/>
      <c r="J15" s="20"/>
    </row>
    <row r="16" spans="1:10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35">
        <v>4745000</v>
      </c>
      <c r="G16" s="35">
        <v>4745000</v>
      </c>
      <c r="H16" s="87">
        <f>900000+400000+33500</f>
        <v>1333500</v>
      </c>
      <c r="I16" s="155"/>
    </row>
    <row r="17" spans="1:10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v>7044100</v>
      </c>
      <c r="G17" s="35">
        <f>7044100+6464000</f>
        <v>13508100</v>
      </c>
      <c r="H17" s="87">
        <f>7980+3307628.06+4728-H16</f>
        <v>1986836.06</v>
      </c>
      <c r="I17" s="155"/>
    </row>
    <row r="18" spans="1:10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87">
        <v>0</v>
      </c>
      <c r="I18" s="155"/>
    </row>
    <row r="19" spans="1:10" s="10" customFormat="1" ht="52.5" customHeight="1">
      <c r="A19" s="133"/>
      <c r="B19" s="15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56"/>
    </row>
    <row r="20" spans="1:10" s="17" customFormat="1">
      <c r="A20" s="30">
        <v>4</v>
      </c>
      <c r="B20" s="188" t="s">
        <v>45</v>
      </c>
      <c r="C20" s="189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1882869300</v>
      </c>
      <c r="G20" s="51">
        <f>G22+G23+G24+G25+G26+G27+G42+G53+G68</f>
        <v>1954194000</v>
      </c>
      <c r="H20" s="51">
        <f>H22+H23+H24+H25+H26+H27+H42+H53+H68</f>
        <v>440138931.65999997</v>
      </c>
      <c r="I20" s="49"/>
    </row>
    <row r="21" spans="1:10" s="17" customFormat="1">
      <c r="A21" s="33"/>
      <c r="B21" s="163" t="s">
        <v>12</v>
      </c>
      <c r="C21" s="164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53">
        <v>0</v>
      </c>
      <c r="G22" s="53">
        <v>0</v>
      </c>
      <c r="H22" s="53">
        <v>0</v>
      </c>
      <c r="I22" s="49" t="s">
        <v>64</v>
      </c>
    </row>
    <row r="23" spans="1:10" s="17" customFormat="1" ht="102.75" customHeight="1">
      <c r="A23" s="33"/>
      <c r="B23" s="184" t="s">
        <v>87</v>
      </c>
      <c r="C23" s="185"/>
      <c r="D23" s="43">
        <v>95500</v>
      </c>
      <c r="E23" s="14">
        <v>95500</v>
      </c>
      <c r="F23" s="53">
        <v>78300</v>
      </c>
      <c r="G23" s="53">
        <v>78300</v>
      </c>
      <c r="H23" s="88">
        <v>12000</v>
      </c>
      <c r="I23" s="49" t="s">
        <v>66</v>
      </c>
    </row>
    <row r="24" spans="1:10" s="17" customFormat="1" ht="61.5" customHeight="1">
      <c r="A24" s="33"/>
      <c r="B24" s="184" t="s">
        <v>88</v>
      </c>
      <c r="C24" s="185"/>
      <c r="D24" s="14">
        <f>91500+70000+484000</f>
        <v>645500</v>
      </c>
      <c r="E24" s="14">
        <f>91500+20300+483896.7</f>
        <v>595696.69999999995</v>
      </c>
      <c r="F24" s="53">
        <f>1831300+95000</f>
        <v>1926300</v>
      </c>
      <c r="G24" s="88">
        <f>1831300+95000+64000</f>
        <v>1990300</v>
      </c>
      <c r="H24" s="88">
        <f>108800+70200</f>
        <v>179000</v>
      </c>
      <c r="I24" s="49"/>
    </row>
    <row r="25" spans="1:10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172038600+530300+86191200-66063200</f>
        <v>192696900</v>
      </c>
      <c r="G25" s="43">
        <f>172038600+18551800</f>
        <v>190590400</v>
      </c>
      <c r="H25" s="88">
        <f>52768.52+129289.84+29577778.83+1683415.75+18000+72140+10680+53.4+115720+946995.18+3793.68</f>
        <v>32610635.199999996</v>
      </c>
      <c r="I25" s="11" t="s">
        <v>201</v>
      </c>
      <c r="J25" s="20"/>
    </row>
    <row r="26" spans="1:10" s="17" customFormat="1" ht="109.5" customHeight="1">
      <c r="A26" s="33"/>
      <c r="B26" s="161" t="s">
        <v>89</v>
      </c>
      <c r="C26" s="162"/>
      <c r="D26" s="28">
        <v>4637300</v>
      </c>
      <c r="E26" s="28">
        <f>4029000+608300</f>
        <v>4637300</v>
      </c>
      <c r="F26" s="43">
        <v>3284700</v>
      </c>
      <c r="G26" s="43">
        <v>3284700</v>
      </c>
      <c r="H26" s="88">
        <v>412200</v>
      </c>
      <c r="I26" s="11" t="s">
        <v>200</v>
      </c>
      <c r="J26" s="10"/>
    </row>
    <row r="27" spans="1:10" s="10" customFormat="1" ht="84" customHeight="1">
      <c r="A27" s="38"/>
      <c r="B27" s="165" t="s">
        <v>38</v>
      </c>
      <c r="C27" s="166"/>
      <c r="D27" s="42">
        <v>5502864</v>
      </c>
      <c r="E27" s="42">
        <v>5485853.5999999996</v>
      </c>
      <c r="F27" s="53">
        <f>F28+F29+F30+F31+F32+F33+F34+F35+F36+F37+F39+F38+F40+F41</f>
        <v>827584100</v>
      </c>
      <c r="G27" s="53">
        <f>G28+G29+G30+G31+G32+G33+G34+G35+G36+G37+G39+G38+G40+G41</f>
        <v>827584100</v>
      </c>
      <c r="H27" s="88">
        <f>H28+H29+H30+H31+H32+H33+H34+H35+H36+H37+H39+H38+H40+H41</f>
        <v>198705836.89000002</v>
      </c>
      <c r="I27" s="13"/>
    </row>
    <row r="28" spans="1:10" s="10" customFormat="1" ht="65.25" customHeight="1">
      <c r="A28" s="46"/>
      <c r="B28" s="131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87">
        <v>96472200</v>
      </c>
      <c r="G28" s="87">
        <v>96472200</v>
      </c>
      <c r="H28" s="87">
        <f>1469.62+24978354.26</f>
        <v>24979823.880000003</v>
      </c>
      <c r="I28" s="13"/>
    </row>
    <row r="29" spans="1:10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87">
        <v>154400</v>
      </c>
      <c r="G29" s="35">
        <v>154400</v>
      </c>
      <c r="H29" s="87">
        <f>8266.89</f>
        <v>8266.89</v>
      </c>
      <c r="I29" s="11" t="s">
        <v>202</v>
      </c>
    </row>
    <row r="30" spans="1:10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87">
        <v>1943000</v>
      </c>
      <c r="G30" s="35">
        <v>1943000</v>
      </c>
      <c r="H30" s="55">
        <v>0</v>
      </c>
      <c r="I30" s="13"/>
    </row>
    <row r="31" spans="1:10" s="10" customFormat="1" ht="104.25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87">
        <f>2444800+2112900</f>
        <v>4557700</v>
      </c>
      <c r="G31" s="87">
        <f>2444800+2112900</f>
        <v>4557700</v>
      </c>
      <c r="H31" s="87">
        <f>2210.55+1331772.42</f>
        <v>1333982.97</v>
      </c>
      <c r="I31" s="11" t="s">
        <v>214</v>
      </c>
    </row>
    <row r="32" spans="1:10" s="10" customFormat="1" ht="62.25" customHeight="1">
      <c r="A32" s="47"/>
      <c r="B32" s="132"/>
      <c r="C32" s="15" t="s">
        <v>28</v>
      </c>
      <c r="D32" s="35">
        <v>12738000</v>
      </c>
      <c r="E32" s="13">
        <v>12738000</v>
      </c>
      <c r="F32" s="87">
        <v>12809200</v>
      </c>
      <c r="G32" s="87">
        <v>12809200</v>
      </c>
      <c r="H32" s="87">
        <f>1108.35+2797248.86</f>
        <v>2798357.21</v>
      </c>
      <c r="I32" s="11" t="s">
        <v>216</v>
      </c>
    </row>
    <row r="33" spans="1:9" s="10" customFormat="1" ht="60.75" customHeight="1">
      <c r="A33" s="47"/>
      <c r="B33" s="132"/>
      <c r="C33" s="23" t="s">
        <v>30</v>
      </c>
      <c r="D33" s="24">
        <v>9152800</v>
      </c>
      <c r="E33" s="36">
        <v>8702567.5</v>
      </c>
      <c r="F33" s="86">
        <v>13317500</v>
      </c>
      <c r="G33" s="86">
        <v>13317500</v>
      </c>
      <c r="H33" s="86">
        <v>2270386.3199999998</v>
      </c>
      <c r="I33" s="11" t="s">
        <v>204</v>
      </c>
    </row>
    <row r="34" spans="1:9" s="10" customFormat="1" ht="60.75" customHeight="1">
      <c r="A34" s="47"/>
      <c r="B34" s="132"/>
      <c r="C34" s="23" t="s">
        <v>129</v>
      </c>
      <c r="D34" s="24"/>
      <c r="E34" s="36"/>
      <c r="F34" s="86">
        <v>654084500</v>
      </c>
      <c r="G34" s="86">
        <v>654084500</v>
      </c>
      <c r="H34" s="86">
        <v>125564613.68000001</v>
      </c>
      <c r="I34" s="11" t="s">
        <v>203</v>
      </c>
    </row>
    <row r="35" spans="1:9" s="10" customFormat="1" ht="105.75" customHeight="1">
      <c r="A35" s="47"/>
      <c r="B35" s="132"/>
      <c r="C35" s="23" t="s">
        <v>130</v>
      </c>
      <c r="D35" s="24"/>
      <c r="E35" s="36"/>
      <c r="F35" s="86">
        <v>390000</v>
      </c>
      <c r="G35" s="86">
        <v>390000</v>
      </c>
      <c r="H35" s="72">
        <v>0</v>
      </c>
      <c r="I35" s="11"/>
    </row>
    <row r="36" spans="1:9" s="10" customFormat="1" ht="73.5" hidden="1" customHeight="1">
      <c r="A36" s="47"/>
      <c r="B36" s="132"/>
      <c r="C36" s="23" t="s">
        <v>131</v>
      </c>
      <c r="D36" s="24"/>
      <c r="E36" s="36"/>
      <c r="F36" s="86">
        <v>0</v>
      </c>
      <c r="G36" s="36">
        <v>0</v>
      </c>
      <c r="H36" s="72">
        <v>0</v>
      </c>
      <c r="I36" s="11" t="s">
        <v>139</v>
      </c>
    </row>
    <row r="37" spans="1:9" s="10" customFormat="1" ht="105" hidden="1" customHeight="1">
      <c r="A37" s="47"/>
      <c r="B37" s="132"/>
      <c r="C37" s="23" t="s">
        <v>134</v>
      </c>
      <c r="D37" s="24"/>
      <c r="E37" s="36"/>
      <c r="F37" s="86">
        <v>0</v>
      </c>
      <c r="G37" s="36">
        <v>0</v>
      </c>
      <c r="H37" s="72">
        <v>0</v>
      </c>
      <c r="I37" s="11"/>
    </row>
    <row r="38" spans="1:9" s="10" customFormat="1" ht="105" customHeight="1">
      <c r="A38" s="47"/>
      <c r="B38" s="132"/>
      <c r="C38" s="23" t="s">
        <v>143</v>
      </c>
      <c r="D38" s="24"/>
      <c r="E38" s="36"/>
      <c r="F38" s="86">
        <v>200000</v>
      </c>
      <c r="G38" s="36">
        <v>200000</v>
      </c>
      <c r="H38" s="86">
        <v>46944</v>
      </c>
      <c r="I38" s="11"/>
    </row>
    <row r="39" spans="1:9" s="10" customFormat="1" ht="56.25">
      <c r="A39" s="48"/>
      <c r="B39" s="133"/>
      <c r="C39" s="23" t="s">
        <v>29</v>
      </c>
      <c r="D39" s="24">
        <v>39812000</v>
      </c>
      <c r="E39" s="36">
        <v>38602489.630000003</v>
      </c>
      <c r="F39" s="86">
        <v>43655600</v>
      </c>
      <c r="G39" s="36">
        <v>43655600</v>
      </c>
      <c r="H39" s="86">
        <v>41703461.939999998</v>
      </c>
      <c r="I39" s="11" t="s">
        <v>205</v>
      </c>
    </row>
    <row r="40" spans="1:9" s="10" customFormat="1" ht="93.75" hidden="1">
      <c r="A40" s="47"/>
      <c r="B40" s="82"/>
      <c r="C40" s="79" t="s">
        <v>195</v>
      </c>
      <c r="D40" s="24"/>
      <c r="E40" s="36"/>
      <c r="F40" s="36">
        <v>0</v>
      </c>
      <c r="G40" s="36">
        <v>0</v>
      </c>
      <c r="H40" s="72">
        <v>0</v>
      </c>
      <c r="I40" s="11"/>
    </row>
    <row r="41" spans="1:9" s="10" customFormat="1" ht="112.5" hidden="1">
      <c r="A41" s="47"/>
      <c r="B41" s="82"/>
      <c r="C41" s="79" t="s">
        <v>196</v>
      </c>
      <c r="D41" s="24"/>
      <c r="E41" s="36"/>
      <c r="F41" s="36">
        <v>0</v>
      </c>
      <c r="G41" s="36">
        <v>0</v>
      </c>
      <c r="H41" s="72">
        <v>0</v>
      </c>
      <c r="I41" s="11"/>
    </row>
    <row r="42" spans="1:9" s="10" customFormat="1" ht="114.75" customHeight="1">
      <c r="A42" s="195"/>
      <c r="B42" s="161" t="s">
        <v>97</v>
      </c>
      <c r="C42" s="162"/>
      <c r="D42" s="28">
        <v>2912300</v>
      </c>
      <c r="E42" s="28">
        <v>2899022.56</v>
      </c>
      <c r="F42" s="53">
        <f>F43+F44+F45+F46+F47+F48+F49+F50+F51+F52</f>
        <v>1186500</v>
      </c>
      <c r="G42" s="53">
        <f>G43+G44+G45+G46+G47+G48+G49+G50+G51+G52</f>
        <v>2686500</v>
      </c>
      <c r="H42" s="53">
        <f>H43+H44+H45+H46+H47+H48+H49+H50+H51+H52</f>
        <v>0</v>
      </c>
      <c r="I42" s="56"/>
    </row>
    <row r="43" spans="1:9" s="10" customFormat="1" ht="268.5" customHeight="1">
      <c r="A43" s="196"/>
      <c r="B43" s="143" t="s">
        <v>12</v>
      </c>
      <c r="C43" s="63" t="s">
        <v>146</v>
      </c>
      <c r="D43" s="28"/>
      <c r="E43" s="28"/>
      <c r="F43" s="53">
        <v>681800</v>
      </c>
      <c r="G43" s="43">
        <v>681800</v>
      </c>
      <c r="H43" s="53">
        <v>0</v>
      </c>
      <c r="I43" s="56" t="s">
        <v>211</v>
      </c>
    </row>
    <row r="44" spans="1:9" s="10" customFormat="1" ht="283.5" customHeight="1">
      <c r="A44" s="196"/>
      <c r="B44" s="167"/>
      <c r="C44" s="63" t="s">
        <v>148</v>
      </c>
      <c r="D44" s="28"/>
      <c r="E44" s="28"/>
      <c r="F44" s="53">
        <v>227300</v>
      </c>
      <c r="G44" s="43">
        <v>227300</v>
      </c>
      <c r="H44" s="53">
        <v>0</v>
      </c>
      <c r="I44" s="56" t="s">
        <v>210</v>
      </c>
    </row>
    <row r="45" spans="1:9" s="10" customFormat="1" ht="54.75" hidden="1" customHeight="1">
      <c r="A45" s="196"/>
      <c r="B45" s="167"/>
      <c r="C45" s="11" t="s">
        <v>151</v>
      </c>
      <c r="D45" s="28"/>
      <c r="E45" s="28"/>
      <c r="F45" s="53">
        <v>0</v>
      </c>
      <c r="G45" s="43">
        <v>0</v>
      </c>
      <c r="H45" s="53"/>
      <c r="I45" s="56"/>
    </row>
    <row r="46" spans="1:9" s="10" customFormat="1" ht="131.25" hidden="1">
      <c r="A46" s="196"/>
      <c r="B46" s="167"/>
      <c r="C46" s="81" t="s">
        <v>153</v>
      </c>
      <c r="D46" s="28"/>
      <c r="E46" s="28"/>
      <c r="F46" s="53">
        <v>0</v>
      </c>
      <c r="G46" s="43">
        <v>0</v>
      </c>
      <c r="H46" s="53"/>
      <c r="I46" s="56"/>
    </row>
    <row r="47" spans="1:9" s="10" customFormat="1" ht="168.75" hidden="1">
      <c r="A47" s="196"/>
      <c r="B47" s="167"/>
      <c r="C47" s="81" t="s">
        <v>155</v>
      </c>
      <c r="D47" s="28"/>
      <c r="E47" s="28"/>
      <c r="F47" s="53">
        <v>0</v>
      </c>
      <c r="G47" s="43">
        <v>0</v>
      </c>
      <c r="H47" s="53"/>
      <c r="I47" s="56"/>
    </row>
    <row r="48" spans="1:9" s="10" customFormat="1" ht="56.25">
      <c r="A48" s="196"/>
      <c r="B48" s="167"/>
      <c r="C48" s="81" t="s">
        <v>157</v>
      </c>
      <c r="D48" s="28"/>
      <c r="E48" s="28"/>
      <c r="F48" s="53">
        <v>49500</v>
      </c>
      <c r="G48" s="43">
        <v>49500</v>
      </c>
      <c r="H48" s="53">
        <v>0</v>
      </c>
      <c r="I48" s="56" t="s">
        <v>212</v>
      </c>
    </row>
    <row r="49" spans="1:9" s="10" customFormat="1" ht="93.75">
      <c r="A49" s="196"/>
      <c r="B49" s="167"/>
      <c r="C49" s="81" t="s">
        <v>159</v>
      </c>
      <c r="D49" s="28"/>
      <c r="E49" s="28"/>
      <c r="F49" s="53">
        <v>27900</v>
      </c>
      <c r="G49" s="43">
        <v>27900</v>
      </c>
      <c r="H49" s="53">
        <v>0</v>
      </c>
      <c r="I49" s="56" t="s">
        <v>213</v>
      </c>
    </row>
    <row r="50" spans="1:9" s="10" customFormat="1" ht="168.75">
      <c r="A50" s="196"/>
      <c r="B50" s="167"/>
      <c r="C50" s="11" t="s">
        <v>150</v>
      </c>
      <c r="D50" s="28"/>
      <c r="E50" s="28"/>
      <c r="F50" s="53">
        <v>200000</v>
      </c>
      <c r="G50" s="43">
        <v>200000</v>
      </c>
      <c r="H50" s="53">
        <v>0</v>
      </c>
      <c r="I50" s="56"/>
    </row>
    <row r="51" spans="1:9" s="10" customFormat="1" hidden="1">
      <c r="A51" s="196"/>
      <c r="B51" s="167"/>
      <c r="C51" s="62" t="s">
        <v>144</v>
      </c>
      <c r="D51" s="28"/>
      <c r="E51" s="28"/>
      <c r="F51" s="53">
        <v>0</v>
      </c>
      <c r="G51" s="43">
        <v>0</v>
      </c>
      <c r="H51" s="53">
        <v>0</v>
      </c>
      <c r="I51" s="56"/>
    </row>
    <row r="52" spans="1:9" s="10" customFormat="1" ht="37.5">
      <c r="A52" s="196"/>
      <c r="B52" s="167"/>
      <c r="C52" s="11" t="s">
        <v>145</v>
      </c>
      <c r="D52" s="28"/>
      <c r="E52" s="28"/>
      <c r="F52" s="53">
        <v>0</v>
      </c>
      <c r="G52" s="43">
        <v>1500000</v>
      </c>
      <c r="H52" s="53">
        <v>0</v>
      </c>
      <c r="I52" s="56"/>
    </row>
    <row r="53" spans="1:9" s="10" customFormat="1" ht="96" customHeight="1">
      <c r="A53" s="131"/>
      <c r="B53" s="165" t="s">
        <v>98</v>
      </c>
      <c r="C53" s="166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29281800</v>
      </c>
      <c r="G53" s="42">
        <f>G54+G55+G56+G57+G58+G59+G60+G61+G62+G63+G64+G65+G66+G67</f>
        <v>35081000</v>
      </c>
      <c r="H53" s="42">
        <f>H54+H55+H56+H57+H58+H59+H60+H61+H62+H63+H64+H65+H66+H67+179.97</f>
        <v>1283459.97</v>
      </c>
      <c r="I53" s="70"/>
    </row>
    <row r="54" spans="1:9" s="10" customFormat="1" ht="131.25" hidden="1">
      <c r="A54" s="132"/>
      <c r="B54" s="143" t="s">
        <v>12</v>
      </c>
      <c r="C54" s="67" t="s">
        <v>161</v>
      </c>
      <c r="D54" s="64"/>
      <c r="E54" s="64"/>
      <c r="F54" s="65">
        <v>0</v>
      </c>
      <c r="G54" s="65">
        <v>0</v>
      </c>
      <c r="H54" s="73">
        <v>0</v>
      </c>
      <c r="I54" s="81"/>
    </row>
    <row r="55" spans="1:9" s="10" customFormat="1" ht="56.25" hidden="1">
      <c r="A55" s="132"/>
      <c r="B55" s="167"/>
      <c r="C55" s="67" t="s">
        <v>162</v>
      </c>
      <c r="D55" s="64"/>
      <c r="E55" s="64"/>
      <c r="F55" s="65">
        <v>0</v>
      </c>
      <c r="G55" s="65">
        <v>0</v>
      </c>
      <c r="H55" s="73">
        <v>0</v>
      </c>
      <c r="I55" s="81"/>
    </row>
    <row r="56" spans="1:9" s="10" customFormat="1" ht="75">
      <c r="A56" s="132"/>
      <c r="B56" s="167"/>
      <c r="C56" s="67" t="s">
        <v>163</v>
      </c>
      <c r="D56" s="64"/>
      <c r="E56" s="64"/>
      <c r="F56" s="65">
        <v>0</v>
      </c>
      <c r="G56" s="65">
        <v>2000000</v>
      </c>
      <c r="H56" s="90">
        <f>53280+500000</f>
        <v>553280</v>
      </c>
      <c r="I56" s="81"/>
    </row>
    <row r="57" spans="1:9" s="10" customFormat="1" ht="75">
      <c r="A57" s="132"/>
      <c r="B57" s="167"/>
      <c r="C57" s="67" t="s">
        <v>165</v>
      </c>
      <c r="D57" s="64"/>
      <c r="E57" s="64"/>
      <c r="F57" s="65">
        <v>0</v>
      </c>
      <c r="G57" s="65">
        <v>1810500</v>
      </c>
      <c r="H57" s="73">
        <v>0</v>
      </c>
      <c r="I57" s="66"/>
    </row>
    <row r="58" spans="1:9" s="10" customFormat="1" ht="56.25">
      <c r="A58" s="132"/>
      <c r="B58" s="167"/>
      <c r="C58" s="67" t="s">
        <v>164</v>
      </c>
      <c r="D58" s="64"/>
      <c r="E58" s="64"/>
      <c r="F58" s="65">
        <v>0</v>
      </c>
      <c r="G58" s="65">
        <v>1644600</v>
      </c>
      <c r="H58" s="73">
        <v>0</v>
      </c>
      <c r="I58" s="66"/>
    </row>
    <row r="59" spans="1:9" s="10" customFormat="1" ht="93.75">
      <c r="A59" s="132"/>
      <c r="B59" s="167"/>
      <c r="C59" s="67" t="s">
        <v>166</v>
      </c>
      <c r="D59" s="64"/>
      <c r="E59" s="64"/>
      <c r="F59" s="65">
        <v>2300000</v>
      </c>
      <c r="G59" s="65">
        <v>2100000</v>
      </c>
      <c r="H59" s="73">
        <v>0</v>
      </c>
      <c r="I59" s="81"/>
    </row>
    <row r="60" spans="1:9" s="10" customFormat="1" ht="106.5" customHeight="1">
      <c r="A60" s="132"/>
      <c r="B60" s="167"/>
      <c r="C60" s="67" t="s">
        <v>167</v>
      </c>
      <c r="D60" s="64"/>
      <c r="E60" s="64"/>
      <c r="F60" s="65">
        <v>0</v>
      </c>
      <c r="G60" s="65">
        <v>200000</v>
      </c>
      <c r="H60" s="73">
        <v>0</v>
      </c>
      <c r="I60" s="81"/>
    </row>
    <row r="61" spans="1:9" s="10" customFormat="1" ht="56.25">
      <c r="A61" s="132"/>
      <c r="B61" s="167"/>
      <c r="C61" s="67" t="s">
        <v>168</v>
      </c>
      <c r="D61" s="64"/>
      <c r="E61" s="64"/>
      <c r="F61" s="65">
        <v>0</v>
      </c>
      <c r="G61" s="65">
        <f>234000+110100</f>
        <v>344100</v>
      </c>
      <c r="H61" s="73">
        <v>0</v>
      </c>
      <c r="I61" s="11" t="s">
        <v>220</v>
      </c>
    </row>
    <row r="62" spans="1:9" s="10" customFormat="1" ht="56.25" hidden="1">
      <c r="A62" s="132"/>
      <c r="B62" s="167"/>
      <c r="C62" s="67" t="s">
        <v>170</v>
      </c>
      <c r="D62" s="64"/>
      <c r="E62" s="64"/>
      <c r="F62" s="65">
        <v>0</v>
      </c>
      <c r="G62" s="65">
        <v>0</v>
      </c>
      <c r="H62" s="73">
        <v>0</v>
      </c>
      <c r="I62" s="81"/>
    </row>
    <row r="63" spans="1:9" s="10" customFormat="1" ht="56.25" hidden="1">
      <c r="A63" s="132"/>
      <c r="B63" s="167"/>
      <c r="C63" s="67" t="s">
        <v>171</v>
      </c>
      <c r="D63" s="64"/>
      <c r="E63" s="64"/>
      <c r="F63" s="65">
        <v>0</v>
      </c>
      <c r="G63" s="65">
        <v>0</v>
      </c>
      <c r="H63" s="73">
        <v>0</v>
      </c>
      <c r="I63" s="81"/>
    </row>
    <row r="64" spans="1:9" s="10" customFormat="1" ht="37.5" hidden="1">
      <c r="A64" s="132"/>
      <c r="B64" s="167"/>
      <c r="C64" s="67" t="s">
        <v>172</v>
      </c>
      <c r="D64" s="64"/>
      <c r="E64" s="64"/>
      <c r="F64" s="65">
        <v>0</v>
      </c>
      <c r="G64" s="65">
        <v>0</v>
      </c>
      <c r="H64" s="73">
        <v>0</v>
      </c>
      <c r="I64" s="81"/>
    </row>
    <row r="65" spans="1:9" s="10" customFormat="1" ht="56.25" hidden="1">
      <c r="A65" s="132"/>
      <c r="B65" s="167"/>
      <c r="C65" s="67" t="s">
        <v>173</v>
      </c>
      <c r="D65" s="64"/>
      <c r="E65" s="64"/>
      <c r="F65" s="65">
        <v>0</v>
      </c>
      <c r="G65" s="65">
        <v>0</v>
      </c>
      <c r="H65" s="73">
        <v>0</v>
      </c>
      <c r="I65" s="81"/>
    </row>
    <row r="66" spans="1:9" s="10" customFormat="1" ht="60" customHeight="1">
      <c r="A66" s="132"/>
      <c r="B66" s="167"/>
      <c r="C66" s="68" t="s">
        <v>55</v>
      </c>
      <c r="D66" s="80">
        <v>5000000</v>
      </c>
      <c r="E66" s="80">
        <v>5000000</v>
      </c>
      <c r="F66" s="65">
        <v>7000000</v>
      </c>
      <c r="G66" s="65">
        <v>7000000</v>
      </c>
      <c r="H66" s="90">
        <v>730000</v>
      </c>
      <c r="I66" s="11"/>
    </row>
    <row r="67" spans="1:9" s="10" customFormat="1" ht="37.5">
      <c r="A67" s="133"/>
      <c r="B67" s="144"/>
      <c r="C67" s="69" t="s">
        <v>23</v>
      </c>
      <c r="D67" s="12">
        <f>60500000+242578000</f>
        <v>303078000</v>
      </c>
      <c r="E67" s="12">
        <f>60500000+162000000</f>
        <v>222500000</v>
      </c>
      <c r="F67" s="43">
        <v>19981800</v>
      </c>
      <c r="G67" s="43">
        <v>19981800</v>
      </c>
      <c r="H67" s="53">
        <v>0</v>
      </c>
      <c r="I67" s="11"/>
    </row>
    <row r="68" spans="1:9" s="10" customFormat="1" ht="86.25" customHeight="1">
      <c r="A68" s="131"/>
      <c r="B68" s="161" t="s">
        <v>41</v>
      </c>
      <c r="C68" s="162"/>
      <c r="D68" s="28">
        <f>2120000+160000+117000+72000</f>
        <v>2469000</v>
      </c>
      <c r="E68" s="28">
        <f>2120000+160000+117000+72000</f>
        <v>2469000</v>
      </c>
      <c r="F68" s="77">
        <f>F69+F70+F71+F72+F73+F74+F75+F76+F77+F78+F79+F80+F81+F82+F83+F84+F85+F86</f>
        <v>826830700</v>
      </c>
      <c r="G68" s="43">
        <f>G69+G70+G71+G72+G73+G74+G75+G76+G77+G78+G79+G80+G81+G82+G83+G84+G85+G86</f>
        <v>892898700</v>
      </c>
      <c r="H68" s="53">
        <f>H69+H70+H71+H72+H73+H74+H75+H76+H77+H78+H79+H80+H81+H82+H83+H84+H85+H86</f>
        <v>206935799.59999999</v>
      </c>
      <c r="I68" s="11"/>
    </row>
    <row r="69" spans="1:9" s="10" customFormat="1" ht="37.5">
      <c r="A69" s="132"/>
      <c r="B69" s="192" t="s">
        <v>135</v>
      </c>
      <c r="C69" s="11" t="s">
        <v>26</v>
      </c>
      <c r="D69" s="12">
        <v>100375000</v>
      </c>
      <c r="E69" s="12">
        <v>100375000</v>
      </c>
      <c r="F69" s="88">
        <v>132000000</v>
      </c>
      <c r="G69" s="88">
        <v>132000000</v>
      </c>
      <c r="H69" s="88">
        <f>8380+39416697.46</f>
        <v>39425077.460000001</v>
      </c>
      <c r="I69" s="13"/>
    </row>
    <row r="70" spans="1:9" s="10" customFormat="1" ht="37.5">
      <c r="A70" s="132"/>
      <c r="B70" s="193"/>
      <c r="C70" s="11" t="s">
        <v>8</v>
      </c>
      <c r="D70" s="12">
        <v>15000</v>
      </c>
      <c r="E70" s="12">
        <v>0</v>
      </c>
      <c r="F70" s="88">
        <v>30000</v>
      </c>
      <c r="G70" s="88">
        <v>30000</v>
      </c>
      <c r="H70" s="88">
        <v>0</v>
      </c>
      <c r="I70" s="13"/>
    </row>
    <row r="71" spans="1:9" s="10" customFormat="1" ht="37.5">
      <c r="A71" s="132"/>
      <c r="B71" s="193"/>
      <c r="C71" s="11" t="s">
        <v>9</v>
      </c>
      <c r="D71" s="12">
        <v>600000</v>
      </c>
      <c r="E71" s="12">
        <v>600000</v>
      </c>
      <c r="F71" s="88">
        <v>600000</v>
      </c>
      <c r="G71" s="88">
        <v>600000</v>
      </c>
      <c r="H71" s="88">
        <v>0</v>
      </c>
      <c r="I71" s="13"/>
    </row>
    <row r="72" spans="1:9" s="10" customFormat="1" ht="56.25">
      <c r="A72" s="132"/>
      <c r="B72" s="193"/>
      <c r="C72" s="23" t="s">
        <v>20</v>
      </c>
      <c r="D72" s="12">
        <f>221495400+183735800</f>
        <v>405231200</v>
      </c>
      <c r="E72" s="12">
        <f>221495400+183735800</f>
        <v>405231200</v>
      </c>
      <c r="F72" s="88">
        <f>289580700+153203200</f>
        <v>442783900</v>
      </c>
      <c r="G72" s="88">
        <f>289580700+153203200</f>
        <v>442783900</v>
      </c>
      <c r="H72" s="88">
        <f>76712517.1+40380086.85</f>
        <v>117092603.94999999</v>
      </c>
      <c r="I72" s="11" t="s">
        <v>215</v>
      </c>
    </row>
    <row r="73" spans="1:9" s="10" customFormat="1" ht="56.25">
      <c r="A73" s="132"/>
      <c r="B73" s="193"/>
      <c r="C73" s="22" t="s">
        <v>10</v>
      </c>
      <c r="D73" s="12">
        <f>44300+1000</f>
        <v>45300</v>
      </c>
      <c r="E73" s="12">
        <v>0</v>
      </c>
      <c r="F73" s="88">
        <v>53300</v>
      </c>
      <c r="G73" s="88">
        <v>53300</v>
      </c>
      <c r="H73" s="88">
        <v>0</v>
      </c>
      <c r="I73" s="11" t="s">
        <v>207</v>
      </c>
    </row>
    <row r="74" spans="1:9" s="10" customFormat="1" ht="56.25">
      <c r="A74" s="132"/>
      <c r="B74" s="193"/>
      <c r="C74" s="22" t="s">
        <v>56</v>
      </c>
      <c r="D74" s="12">
        <f>38313700+13169600</f>
        <v>51483300</v>
      </c>
      <c r="E74" s="12">
        <f>38313700+13169600</f>
        <v>51483300</v>
      </c>
      <c r="F74" s="88">
        <v>38313700</v>
      </c>
      <c r="G74" s="88">
        <v>38313700</v>
      </c>
      <c r="H74" s="88">
        <v>1732437</v>
      </c>
      <c r="I74" s="11"/>
    </row>
    <row r="75" spans="1:9" s="10" customFormat="1" ht="93.75">
      <c r="A75" s="132"/>
      <c r="B75" s="193"/>
      <c r="C75" s="34" t="s">
        <v>34</v>
      </c>
      <c r="D75" s="13">
        <v>38100</v>
      </c>
      <c r="E75" s="36">
        <v>12855.37</v>
      </c>
      <c r="F75" s="89">
        <v>25300</v>
      </c>
      <c r="G75" s="89">
        <v>25300</v>
      </c>
      <c r="H75" s="74">
        <v>0</v>
      </c>
      <c r="I75" s="11" t="s">
        <v>206</v>
      </c>
    </row>
    <row r="76" spans="1:9" s="10" customFormat="1" ht="112.5">
      <c r="A76" s="132"/>
      <c r="B76" s="193"/>
      <c r="C76" s="34" t="s">
        <v>35</v>
      </c>
      <c r="D76" s="24">
        <v>4036300</v>
      </c>
      <c r="E76" s="36">
        <v>3469266.14</v>
      </c>
      <c r="F76" s="89">
        <v>5012300</v>
      </c>
      <c r="G76" s="89">
        <v>5012300</v>
      </c>
      <c r="H76" s="89">
        <v>933758.79</v>
      </c>
      <c r="I76" s="11" t="s">
        <v>208</v>
      </c>
    </row>
    <row r="77" spans="1:9" s="10" customFormat="1" ht="75" hidden="1" customHeight="1">
      <c r="A77" s="132"/>
      <c r="B77" s="193"/>
      <c r="C77" s="34" t="s">
        <v>178</v>
      </c>
      <c r="D77" s="24"/>
      <c r="E77" s="36"/>
      <c r="F77" s="71">
        <v>0</v>
      </c>
      <c r="G77" s="89">
        <v>0</v>
      </c>
      <c r="H77" s="74">
        <v>0</v>
      </c>
      <c r="I77" s="11"/>
    </row>
    <row r="78" spans="1:9" s="10" customFormat="1" ht="56.25" hidden="1" customHeight="1">
      <c r="A78" s="132"/>
      <c r="B78" s="193"/>
      <c r="C78" s="34" t="s">
        <v>179</v>
      </c>
      <c r="D78" s="24"/>
      <c r="E78" s="36"/>
      <c r="F78" s="71">
        <v>0</v>
      </c>
      <c r="G78" s="89">
        <v>0</v>
      </c>
      <c r="H78" s="74">
        <v>0</v>
      </c>
      <c r="I78" s="11"/>
    </row>
    <row r="79" spans="1:9" s="10" customFormat="1" ht="56.25" hidden="1" customHeight="1">
      <c r="A79" s="132"/>
      <c r="B79" s="193"/>
      <c r="C79" s="34" t="s">
        <v>180</v>
      </c>
      <c r="D79" s="24"/>
      <c r="E79" s="36"/>
      <c r="F79" s="71">
        <v>0</v>
      </c>
      <c r="G79" s="89">
        <v>0</v>
      </c>
      <c r="H79" s="74">
        <v>0</v>
      </c>
      <c r="I79" s="11"/>
    </row>
    <row r="80" spans="1:9" s="10" customFormat="1" ht="56.25">
      <c r="A80" s="132"/>
      <c r="B80" s="193"/>
      <c r="C80" s="34" t="s">
        <v>183</v>
      </c>
      <c r="D80" s="24"/>
      <c r="E80" s="36"/>
      <c r="F80" s="71">
        <v>0</v>
      </c>
      <c r="G80" s="89">
        <v>110000</v>
      </c>
      <c r="H80" s="74">
        <v>0</v>
      </c>
      <c r="I80" s="11"/>
    </row>
    <row r="81" spans="1:9" s="10" customFormat="1" ht="93.75" hidden="1">
      <c r="A81" s="132"/>
      <c r="B81" s="193"/>
      <c r="C81" s="34" t="s">
        <v>184</v>
      </c>
      <c r="D81" s="24"/>
      <c r="E81" s="36"/>
      <c r="F81" s="71">
        <v>0</v>
      </c>
      <c r="G81" s="89">
        <v>0</v>
      </c>
      <c r="H81" s="74">
        <v>0</v>
      </c>
      <c r="I81" s="11"/>
    </row>
    <row r="82" spans="1:9" s="10" customFormat="1" ht="93.75">
      <c r="A82" s="132"/>
      <c r="B82" s="193"/>
      <c r="C82" s="34" t="s">
        <v>185</v>
      </c>
      <c r="D82" s="24"/>
      <c r="E82" s="36"/>
      <c r="F82" s="71">
        <v>0</v>
      </c>
      <c r="G82" s="89">
        <v>20000</v>
      </c>
      <c r="H82" s="74">
        <v>0</v>
      </c>
      <c r="I82" s="11"/>
    </row>
    <row r="83" spans="1:9" s="10" customFormat="1" ht="62.25" hidden="1" customHeight="1">
      <c r="A83" s="132"/>
      <c r="B83" s="193"/>
      <c r="C83" s="34" t="s">
        <v>186</v>
      </c>
      <c r="D83" s="24"/>
      <c r="E83" s="36"/>
      <c r="F83" s="71">
        <v>0</v>
      </c>
      <c r="G83" s="89">
        <v>0</v>
      </c>
      <c r="H83" s="74">
        <v>0</v>
      </c>
      <c r="I83" s="11"/>
    </row>
    <row r="84" spans="1:9" s="10" customFormat="1" ht="131.25">
      <c r="A84" s="133"/>
      <c r="B84" s="193"/>
      <c r="C84" s="34" t="s">
        <v>36</v>
      </c>
      <c r="D84" s="24">
        <v>188484500</v>
      </c>
      <c r="E84" s="36">
        <v>188484500</v>
      </c>
      <c r="F84" s="89">
        <v>208012200</v>
      </c>
      <c r="G84" s="89">
        <v>208012200</v>
      </c>
      <c r="H84" s="89">
        <v>45734694.520000003</v>
      </c>
      <c r="I84" s="11" t="s">
        <v>209</v>
      </c>
    </row>
    <row r="85" spans="1:9" s="10" customFormat="1" ht="112.5" hidden="1">
      <c r="A85" s="32"/>
      <c r="B85" s="193"/>
      <c r="C85" s="27" t="s">
        <v>188</v>
      </c>
      <c r="D85" s="12"/>
      <c r="E85" s="28"/>
      <c r="F85" s="43">
        <v>0</v>
      </c>
      <c r="G85" s="88">
        <v>0</v>
      </c>
      <c r="H85" s="53">
        <v>0</v>
      </c>
      <c r="I85" s="13"/>
    </row>
    <row r="86" spans="1:9" s="10" customFormat="1" ht="93.75" customHeight="1">
      <c r="A86" s="32"/>
      <c r="B86" s="194"/>
      <c r="C86" s="27" t="s">
        <v>217</v>
      </c>
      <c r="D86" s="12"/>
      <c r="E86" s="28"/>
      <c r="F86" s="43">
        <v>0</v>
      </c>
      <c r="G86" s="88">
        <v>65938000</v>
      </c>
      <c r="H86" s="88">
        <v>2017227.88</v>
      </c>
      <c r="I86" s="11" t="s">
        <v>218</v>
      </c>
    </row>
    <row r="87" spans="1:9" s="10" customFormat="1" ht="66.75" customHeight="1">
      <c r="A87" s="38">
        <v>5</v>
      </c>
      <c r="B87" s="141" t="s">
        <v>22</v>
      </c>
      <c r="C87" s="142"/>
      <c r="D87" s="9">
        <v>33309103</v>
      </c>
      <c r="E87" s="9">
        <v>33309102.949999999</v>
      </c>
      <c r="F87" s="51">
        <v>47483700</v>
      </c>
      <c r="G87" s="51">
        <v>47483700</v>
      </c>
      <c r="H87" s="51">
        <v>11828817.02</v>
      </c>
      <c r="I87" s="13"/>
    </row>
    <row r="88" spans="1:9" s="10" customFormat="1" ht="144" customHeight="1">
      <c r="A88" s="39">
        <v>6</v>
      </c>
      <c r="B88" s="139" t="s">
        <v>43</v>
      </c>
      <c r="C88" s="139"/>
      <c r="D88" s="40">
        <v>3152500</v>
      </c>
      <c r="E88" s="40">
        <v>3130229.34</v>
      </c>
      <c r="F88" s="54">
        <v>2937700</v>
      </c>
      <c r="G88" s="54">
        <v>2937700</v>
      </c>
      <c r="H88" s="54">
        <v>570737.13</v>
      </c>
      <c r="I88" s="13"/>
    </row>
    <row r="89" spans="1:9" s="10" customFormat="1" ht="68.25" customHeight="1">
      <c r="A89" s="39">
        <v>7</v>
      </c>
      <c r="B89" s="140" t="s">
        <v>102</v>
      </c>
      <c r="C89" s="140"/>
      <c r="D89" s="41">
        <v>2633900</v>
      </c>
      <c r="E89" s="41">
        <v>1740839.97</v>
      </c>
      <c r="F89" s="54">
        <v>0</v>
      </c>
      <c r="G89" s="54">
        <v>0</v>
      </c>
      <c r="H89" s="54">
        <v>0</v>
      </c>
      <c r="I89" s="11"/>
    </row>
    <row r="90" spans="1:9" s="10" customFormat="1" ht="60" customHeight="1">
      <c r="A90" s="39">
        <v>8</v>
      </c>
      <c r="B90" s="160" t="s">
        <v>127</v>
      </c>
      <c r="C90" s="160"/>
      <c r="D90" s="41">
        <v>100000</v>
      </c>
      <c r="E90" s="41">
        <v>100000</v>
      </c>
      <c r="F90" s="54">
        <v>0</v>
      </c>
      <c r="G90" s="54">
        <v>700000</v>
      </c>
      <c r="H90" s="54">
        <v>700000</v>
      </c>
      <c r="I90" s="11" t="s">
        <v>219</v>
      </c>
    </row>
    <row r="91" spans="1:9" s="10" customFormat="1" ht="60" customHeight="1">
      <c r="A91" s="39">
        <v>9</v>
      </c>
      <c r="B91" s="197" t="s">
        <v>194</v>
      </c>
      <c r="C91" s="198"/>
      <c r="D91" s="41"/>
      <c r="E91" s="41"/>
      <c r="F91" s="54">
        <v>0</v>
      </c>
      <c r="G91" s="54">
        <v>0</v>
      </c>
      <c r="H91" s="54">
        <v>0</v>
      </c>
      <c r="I91" s="11"/>
    </row>
    <row r="92" spans="1:9" s="10" customFormat="1" ht="60" customHeight="1">
      <c r="A92" s="39">
        <v>10</v>
      </c>
      <c r="B92" s="197" t="s">
        <v>221</v>
      </c>
      <c r="C92" s="198"/>
      <c r="D92" s="41"/>
      <c r="E92" s="41"/>
      <c r="F92" s="54">
        <v>0</v>
      </c>
      <c r="G92" s="54">
        <v>3700000</v>
      </c>
      <c r="H92" s="54">
        <v>3724.95</v>
      </c>
      <c r="I92" s="11"/>
    </row>
    <row r="93" spans="1:9" s="10" customFormat="1" ht="39" customHeight="1">
      <c r="A93" s="31"/>
      <c r="B93" s="147" t="s">
        <v>58</v>
      </c>
      <c r="C93" s="148"/>
      <c r="D93" s="58" t="e">
        <f>D4+D8+D14+D20+#REF!+D87+D88+D89+D90</f>
        <v>#REF!</v>
      </c>
      <c r="E93" s="58" t="e">
        <f>E4+E8+E14+E20+#REF!+E87+E88+E89+E90</f>
        <v>#REF!</v>
      </c>
      <c r="F93" s="59">
        <f>F4+F8+F14+F20+F87+F88+F89+F90+F91+F92</f>
        <v>3094867700</v>
      </c>
      <c r="G93" s="59">
        <f>G4+G8+G14+G20+G87+G88+G89+G90+G91+G92</f>
        <v>3182899700</v>
      </c>
      <c r="H93" s="59">
        <f>H4+H8+H14+H20+H87+H88+H89+H90+H91+H92</f>
        <v>738289113.91999996</v>
      </c>
      <c r="I93" s="35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5:8">
      <c r="E706" s="2"/>
      <c r="F706" s="2"/>
      <c r="G706" s="2"/>
      <c r="H706" s="2"/>
    </row>
  </sheetData>
  <mergeCells count="44"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B26:C26"/>
    <mergeCell ref="B27:C27"/>
    <mergeCell ref="B28:B39"/>
    <mergeCell ref="A42:A52"/>
    <mergeCell ref="B42:C42"/>
    <mergeCell ref="B43:B52"/>
    <mergeCell ref="A53:A67"/>
    <mergeCell ref="B53:C53"/>
    <mergeCell ref="B54:B67"/>
    <mergeCell ref="A68:A84"/>
    <mergeCell ref="B68:C68"/>
    <mergeCell ref="B69:B86"/>
    <mergeCell ref="B87:C87"/>
    <mergeCell ref="B88:C88"/>
    <mergeCell ref="B89:C89"/>
    <mergeCell ref="B90:C90"/>
    <mergeCell ref="B93:C93"/>
    <mergeCell ref="B91:C91"/>
    <mergeCell ref="B92:C92"/>
  </mergeCells>
  <pageMargins left="0.15748031496062992" right="0.15748031496062992" top="0.19685039370078741" bottom="0.19685039370078741" header="0.15748031496062992" footer="0.15748031496062992"/>
  <pageSetup paperSize="9" scale="58" fitToHeight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6"/>
  <sheetViews>
    <sheetView view="pageBreakPreview" topLeftCell="C1" zoomScale="60" zoomScaleNormal="60" workbookViewId="0">
      <selection activeCell="I4" sqref="I4:I7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10" ht="27.4" customHeight="1">
      <c r="C1" s="5" t="s">
        <v>199</v>
      </c>
    </row>
    <row r="2" spans="1:10" s="6" customFormat="1" ht="139.5" customHeight="1">
      <c r="A2" s="145"/>
      <c r="B2" s="172" t="s">
        <v>0</v>
      </c>
      <c r="C2" s="173"/>
      <c r="D2" s="168" t="s">
        <v>14</v>
      </c>
      <c r="E2" s="170" t="s">
        <v>84</v>
      </c>
      <c r="F2" s="168" t="s">
        <v>198</v>
      </c>
      <c r="G2" s="168" t="s">
        <v>228</v>
      </c>
      <c r="H2" s="170" t="s">
        <v>227</v>
      </c>
      <c r="I2" s="149" t="s">
        <v>59</v>
      </c>
    </row>
    <row r="3" spans="1:10" s="6" customFormat="1" ht="8.25" customHeight="1">
      <c r="A3" s="146"/>
      <c r="B3" s="174"/>
      <c r="C3" s="175"/>
      <c r="D3" s="169"/>
      <c r="E3" s="171"/>
      <c r="F3" s="169"/>
      <c r="G3" s="169"/>
      <c r="H3" s="171"/>
      <c r="I3" s="150"/>
    </row>
    <row r="4" spans="1:10" s="10" customFormat="1" ht="43.5" customHeight="1">
      <c r="A4" s="131">
        <v>1</v>
      </c>
      <c r="B4" s="141" t="s">
        <v>7</v>
      </c>
      <c r="C4" s="142"/>
      <c r="D4" s="9">
        <f>D5+D6+D7</f>
        <v>40272408</v>
      </c>
      <c r="E4" s="9">
        <f>E5+E6+E7</f>
        <v>40033747.399999999</v>
      </c>
      <c r="F4" s="51">
        <f>F5+F6+F7</f>
        <v>38043800</v>
      </c>
      <c r="G4" s="51">
        <f>G5+G6+G7</f>
        <v>37713800</v>
      </c>
      <c r="H4" s="51">
        <f>H5+H6+H7</f>
        <v>17934302.75</v>
      </c>
      <c r="I4" s="151" t="s">
        <v>226</v>
      </c>
    </row>
    <row r="5" spans="1:10" s="10" customFormat="1" ht="26.25" customHeight="1">
      <c r="A5" s="132"/>
      <c r="B5" s="178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34423900</v>
      </c>
      <c r="G5" s="35">
        <f>26643900+7780000</f>
        <v>34423900</v>
      </c>
      <c r="H5" s="87">
        <f>12351314.49+3594999.96</f>
        <v>15946314.449999999</v>
      </c>
      <c r="I5" s="152"/>
    </row>
    <row r="6" spans="1:10" s="10" customFormat="1" ht="26.25" customHeight="1">
      <c r="A6" s="132"/>
      <c r="B6" s="179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168600</v>
      </c>
      <c r="G6" s="35">
        <f>78600+80000+10000</f>
        <v>168600</v>
      </c>
      <c r="H6" s="87">
        <v>14754.47</v>
      </c>
      <c r="I6" s="152"/>
    </row>
    <row r="7" spans="1:10" s="10" customFormat="1" ht="27" customHeight="1">
      <c r="A7" s="133"/>
      <c r="B7" s="180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3451300</v>
      </c>
      <c r="G7" s="35">
        <f>1844600+92000+250000+300000+519700+115000</f>
        <v>3121300</v>
      </c>
      <c r="H7" s="87">
        <f>1730917.63+227316.2+15000</f>
        <v>1973233.8299999998</v>
      </c>
      <c r="I7" s="153"/>
    </row>
    <row r="8" spans="1:10" s="10" customFormat="1" ht="30" customHeight="1">
      <c r="A8" s="131">
        <v>2</v>
      </c>
      <c r="B8" s="176" t="s">
        <v>6</v>
      </c>
      <c r="C8" s="177"/>
      <c r="D8" s="9">
        <f>D9+D10+D11+D12+D13</f>
        <v>934259325</v>
      </c>
      <c r="E8" s="9">
        <f>E9+E10+E11+E12+E13</f>
        <v>934075828.82000005</v>
      </c>
      <c r="F8" s="51">
        <f>F9+F10+F11+F12+F13</f>
        <v>1057470000</v>
      </c>
      <c r="G8" s="51">
        <f>G9+G10+G11+G12+G13</f>
        <v>1065746900</v>
      </c>
      <c r="H8" s="51">
        <f>H9+H10+H11+H12+H13</f>
        <v>537481200.3499999</v>
      </c>
      <c r="I8" s="151" t="s">
        <v>225</v>
      </c>
    </row>
    <row r="9" spans="1:10" s="10" customFormat="1" ht="32.25" customHeight="1">
      <c r="A9" s="132"/>
      <c r="B9" s="181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v>808194600</v>
      </c>
      <c r="G9" s="55">
        <v>812434700</v>
      </c>
      <c r="H9" s="87">
        <f>402023400+15653876.83+4656406.84</f>
        <v>422333683.66999996</v>
      </c>
      <c r="I9" s="152"/>
    </row>
    <row r="10" spans="1:10" s="10" customFormat="1" ht="35.25" customHeight="1">
      <c r="A10" s="132"/>
      <c r="B10" s="182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v>116183300</v>
      </c>
      <c r="G10" s="55">
        <v>116153300</v>
      </c>
      <c r="H10" s="87">
        <v>59248468</v>
      </c>
      <c r="I10" s="152"/>
    </row>
    <row r="11" spans="1:10" s="10" customFormat="1" ht="32.25" customHeight="1">
      <c r="A11" s="132"/>
      <c r="B11" s="182"/>
      <c r="C11" s="11" t="s">
        <v>46</v>
      </c>
      <c r="D11" s="12">
        <f>10202225+73960812</f>
        <v>84163037</v>
      </c>
      <c r="E11" s="44">
        <f>10202225+73960812</f>
        <v>84163037</v>
      </c>
      <c r="F11" s="55">
        <v>91638300</v>
      </c>
      <c r="G11" s="55">
        <v>90850000</v>
      </c>
      <c r="H11" s="87">
        <v>37507295</v>
      </c>
      <c r="I11" s="152"/>
    </row>
    <row r="12" spans="1:10" s="10" customFormat="1" ht="32.25" customHeight="1">
      <c r="A12" s="132"/>
      <c r="B12" s="182"/>
      <c r="C12" s="11" t="s">
        <v>47</v>
      </c>
      <c r="D12" s="12">
        <f>7368140+765458</f>
        <v>8133598</v>
      </c>
      <c r="E12" s="44">
        <f>7368140+765458</f>
        <v>8133598</v>
      </c>
      <c r="F12" s="55">
        <f>755800+7236200</f>
        <v>7992000</v>
      </c>
      <c r="G12" s="55">
        <f>755800+7236200</f>
        <v>7992000</v>
      </c>
      <c r="H12" s="87">
        <v>4705200</v>
      </c>
      <c r="I12" s="152"/>
    </row>
    <row r="13" spans="1:10" s="10" customFormat="1" ht="45" customHeight="1">
      <c r="A13" s="133"/>
      <c r="B13" s="183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v>33461800</v>
      </c>
      <c r="G13" s="35">
        <v>38316900</v>
      </c>
      <c r="H13" s="87">
        <v>13686553.68</v>
      </c>
      <c r="I13" s="153"/>
    </row>
    <row r="14" spans="1:10" s="10" customFormat="1">
      <c r="A14" s="131">
        <v>3</v>
      </c>
      <c r="B14" s="30"/>
      <c r="C14" s="8" t="s">
        <v>5</v>
      </c>
      <c r="D14" s="9">
        <f>D15+D16+D17+D18+D19</f>
        <v>70204700</v>
      </c>
      <c r="E14" s="9">
        <f>E15+E16+E17+E18+E19</f>
        <v>69101984.709999993</v>
      </c>
      <c r="F14" s="51">
        <f>F15+F16+F17+F18+F19</f>
        <v>66063200</v>
      </c>
      <c r="G14" s="51">
        <f>G15+G16+G17+G18+G19</f>
        <v>74635400</v>
      </c>
      <c r="H14" s="51">
        <f>H15+H16+H17+H18+H19</f>
        <v>35470596.379999995</v>
      </c>
      <c r="I14" s="154" t="s">
        <v>62</v>
      </c>
    </row>
    <row r="15" spans="1:10" s="10" customFormat="1" ht="18.75" customHeight="1">
      <c r="A15" s="132"/>
      <c r="B15" s="15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v>53774100</v>
      </c>
      <c r="G15" s="35">
        <f>43624000+12758300</f>
        <v>56382300</v>
      </c>
      <c r="H15" s="87">
        <f>21653062.49+6466769.2</f>
        <v>28119831.689999998</v>
      </c>
      <c r="I15" s="155"/>
      <c r="J15" s="20"/>
    </row>
    <row r="16" spans="1:10" s="10" customFormat="1" ht="25.5" customHeight="1">
      <c r="A16" s="132"/>
      <c r="B16" s="152"/>
      <c r="C16" s="11" t="s">
        <v>37</v>
      </c>
      <c r="D16" s="12">
        <f>2816100+1303800+140000</f>
        <v>4259900</v>
      </c>
      <c r="E16" s="12">
        <v>3601351.58</v>
      </c>
      <c r="F16" s="35">
        <v>4745000</v>
      </c>
      <c r="G16" s="35">
        <f>2935000+1630000+180000</f>
        <v>4745000</v>
      </c>
      <c r="H16" s="87">
        <v>2030668.2</v>
      </c>
      <c r="I16" s="155"/>
    </row>
    <row r="17" spans="1:10" s="10" customFormat="1" ht="22.5" customHeight="1">
      <c r="A17" s="132"/>
      <c r="B17" s="15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v>7044100</v>
      </c>
      <c r="G17" s="35">
        <f>7044100+6464000</f>
        <v>13508100</v>
      </c>
      <c r="H17" s="87">
        <v>5320096.49</v>
      </c>
      <c r="I17" s="155"/>
    </row>
    <row r="18" spans="1:10" s="10" customFormat="1" ht="61.5" customHeight="1">
      <c r="A18" s="132"/>
      <c r="B18" s="15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87">
        <v>0</v>
      </c>
      <c r="I18" s="155"/>
    </row>
    <row r="19" spans="1:10" s="10" customFormat="1" ht="52.5" customHeight="1">
      <c r="A19" s="133"/>
      <c r="B19" s="15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56"/>
    </row>
    <row r="20" spans="1:10" s="17" customFormat="1">
      <c r="A20" s="30">
        <v>4</v>
      </c>
      <c r="B20" s="188" t="s">
        <v>45</v>
      </c>
      <c r="C20" s="189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1882869300</v>
      </c>
      <c r="G20" s="51">
        <f>G22+G23+G24+G25+G26+G27+G42+G53+G68</f>
        <v>1954325200</v>
      </c>
      <c r="H20" s="51">
        <f>H22+H23+H24+H25+H26+H27+H42+H53+H68</f>
        <v>849310995.34000003</v>
      </c>
      <c r="I20" s="49"/>
    </row>
    <row r="21" spans="1:10" s="17" customFormat="1">
      <c r="A21" s="33"/>
      <c r="B21" s="163" t="s">
        <v>12</v>
      </c>
      <c r="C21" s="164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86" t="s">
        <v>63</v>
      </c>
      <c r="C22" s="187"/>
      <c r="D22" s="14">
        <v>255000</v>
      </c>
      <c r="E22" s="14">
        <v>255000</v>
      </c>
      <c r="F22" s="53">
        <v>0</v>
      </c>
      <c r="G22" s="53">
        <v>0</v>
      </c>
      <c r="H22" s="53">
        <v>0</v>
      </c>
      <c r="I22" s="49" t="s">
        <v>64</v>
      </c>
    </row>
    <row r="23" spans="1:10" s="17" customFormat="1" ht="102.75" customHeight="1">
      <c r="A23" s="33"/>
      <c r="B23" s="184" t="s">
        <v>87</v>
      </c>
      <c r="C23" s="185"/>
      <c r="D23" s="43">
        <v>95500</v>
      </c>
      <c r="E23" s="14">
        <v>95500</v>
      </c>
      <c r="F23" s="53">
        <v>78300</v>
      </c>
      <c r="G23" s="53">
        <v>78300</v>
      </c>
      <c r="H23" s="88">
        <v>23100</v>
      </c>
      <c r="I23" s="49" t="s">
        <v>66</v>
      </c>
    </row>
    <row r="24" spans="1:10" s="17" customFormat="1" ht="61.5" customHeight="1">
      <c r="A24" s="33"/>
      <c r="B24" s="184" t="s">
        <v>88</v>
      </c>
      <c r="C24" s="185"/>
      <c r="D24" s="14">
        <f>91500+70000+484000</f>
        <v>645500</v>
      </c>
      <c r="E24" s="14">
        <f>91500+20300+483896.7</f>
        <v>595696.69999999995</v>
      </c>
      <c r="F24" s="53">
        <f>1831300+95000</f>
        <v>1926300</v>
      </c>
      <c r="G24" s="88">
        <f>1831300+95000+64000</f>
        <v>1990300</v>
      </c>
      <c r="H24" s="88">
        <f>436000+141000+138066</f>
        <v>715066</v>
      </c>
      <c r="I24" s="49"/>
    </row>
    <row r="25" spans="1:10" s="17" customFormat="1" ht="64.5" customHeight="1">
      <c r="A25" s="33"/>
      <c r="B25" s="161" t="s">
        <v>42</v>
      </c>
      <c r="C25" s="16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172038600+530300+86191200-66063200</f>
        <v>192696900</v>
      </c>
      <c r="G25" s="43">
        <f>172038600+18551800-238600</f>
        <v>190351800</v>
      </c>
      <c r="H25" s="88">
        <v>66803096.25</v>
      </c>
      <c r="I25" s="11" t="s">
        <v>230</v>
      </c>
      <c r="J25" s="20"/>
    </row>
    <row r="26" spans="1:10" s="17" customFormat="1" ht="109.5" customHeight="1">
      <c r="A26" s="33"/>
      <c r="B26" s="161" t="s">
        <v>89</v>
      </c>
      <c r="C26" s="162"/>
      <c r="D26" s="28">
        <v>4637300</v>
      </c>
      <c r="E26" s="28">
        <f>4029000+608300</f>
        <v>4637300</v>
      </c>
      <c r="F26" s="43">
        <v>3284700</v>
      </c>
      <c r="G26" s="43">
        <v>3284700</v>
      </c>
      <c r="H26" s="88">
        <f>39600+646200</f>
        <v>685800</v>
      </c>
      <c r="I26" s="11" t="s">
        <v>231</v>
      </c>
      <c r="J26" s="10"/>
    </row>
    <row r="27" spans="1:10" s="10" customFormat="1" ht="84" customHeight="1">
      <c r="A27" s="38"/>
      <c r="B27" s="165" t="s">
        <v>38</v>
      </c>
      <c r="C27" s="166"/>
      <c r="D27" s="93">
        <v>5502864</v>
      </c>
      <c r="E27" s="93">
        <v>5485853.5999999996</v>
      </c>
      <c r="F27" s="94">
        <f>F28+F29+F30+F31+F32+F33+F34+F35+F36+F37+F39+F38+F40+F41</f>
        <v>827584100</v>
      </c>
      <c r="G27" s="94">
        <f>G28+G29+G30+G31+G32+G33+G34+G35+G36+G37+G39+G38+G40+G41</f>
        <v>827923900</v>
      </c>
      <c r="H27" s="94">
        <f>H28+H29+H30+H31+H32+H33+H34+H35+H36+H37+H39+H38+H40+H41</f>
        <v>340386258.61000001</v>
      </c>
      <c r="I27" s="13"/>
    </row>
    <row r="28" spans="1:10" s="10" customFormat="1" ht="65.25" customHeight="1">
      <c r="A28" s="46"/>
      <c r="B28" s="131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87">
        <v>96472200</v>
      </c>
      <c r="G28" s="87">
        <v>96472200</v>
      </c>
      <c r="H28" s="87">
        <f>48570658.03+2899.98</f>
        <v>48573558.009999998</v>
      </c>
      <c r="I28" s="13"/>
    </row>
    <row r="29" spans="1:10" s="10" customFormat="1" ht="42" customHeight="1">
      <c r="A29" s="47"/>
      <c r="B29" s="132"/>
      <c r="C29" s="21" t="s">
        <v>31</v>
      </c>
      <c r="D29" s="12">
        <f>65500+1000</f>
        <v>66500</v>
      </c>
      <c r="E29" s="12">
        <f>30998.81</f>
        <v>30998.81</v>
      </c>
      <c r="F29" s="87">
        <v>154400</v>
      </c>
      <c r="G29" s="35">
        <v>154400</v>
      </c>
      <c r="H29" s="87">
        <v>22588.48</v>
      </c>
      <c r="I29" s="11" t="s">
        <v>232</v>
      </c>
    </row>
    <row r="30" spans="1:10" s="10" customFormat="1" ht="42" customHeight="1">
      <c r="A30" s="47"/>
      <c r="B30" s="132"/>
      <c r="C30" s="22" t="s">
        <v>11</v>
      </c>
      <c r="D30" s="12">
        <v>1943000</v>
      </c>
      <c r="E30" s="12">
        <v>1885583</v>
      </c>
      <c r="F30" s="87">
        <v>1943000</v>
      </c>
      <c r="G30" s="35">
        <v>1943000</v>
      </c>
      <c r="H30" s="87">
        <v>173322</v>
      </c>
      <c r="I30" s="13"/>
    </row>
    <row r="31" spans="1:10" s="10" customFormat="1" ht="104.25" customHeight="1">
      <c r="A31" s="47"/>
      <c r="B31" s="132"/>
      <c r="C31" s="21" t="s">
        <v>21</v>
      </c>
      <c r="D31" s="12">
        <f>4530547.8+10000</f>
        <v>4540547.8</v>
      </c>
      <c r="E31" s="12">
        <f>2416482.69+4921.41</f>
        <v>2421404.1</v>
      </c>
      <c r="F31" s="87">
        <f>2444800+2112900</f>
        <v>4557700</v>
      </c>
      <c r="G31" s="87">
        <f>2444800+2112900</f>
        <v>4557700</v>
      </c>
      <c r="H31" s="87">
        <f>4489.55+2677306.65</f>
        <v>2681796.1999999997</v>
      </c>
      <c r="I31" s="11" t="s">
        <v>233</v>
      </c>
    </row>
    <row r="32" spans="1:10" s="10" customFormat="1" ht="62.25" customHeight="1">
      <c r="A32" s="47"/>
      <c r="B32" s="132"/>
      <c r="C32" s="15" t="s">
        <v>28</v>
      </c>
      <c r="D32" s="35">
        <v>12738000</v>
      </c>
      <c r="E32" s="13">
        <v>12738000</v>
      </c>
      <c r="F32" s="87">
        <v>12809200</v>
      </c>
      <c r="G32" s="87">
        <v>12809200</v>
      </c>
      <c r="H32" s="87">
        <f>5533491.12+2347.49</f>
        <v>5535838.6100000003</v>
      </c>
      <c r="I32" s="11" t="s">
        <v>234</v>
      </c>
    </row>
    <row r="33" spans="1:9" s="10" customFormat="1" ht="60.75" customHeight="1">
      <c r="A33" s="47"/>
      <c r="B33" s="132"/>
      <c r="C33" s="23" t="s">
        <v>30</v>
      </c>
      <c r="D33" s="24">
        <v>9152800</v>
      </c>
      <c r="E33" s="36">
        <v>8702567.5</v>
      </c>
      <c r="F33" s="86">
        <v>13317500</v>
      </c>
      <c r="G33" s="86">
        <v>13317500</v>
      </c>
      <c r="H33" s="86">
        <v>4775614.99</v>
      </c>
      <c r="I33" s="11" t="s">
        <v>235</v>
      </c>
    </row>
    <row r="34" spans="1:9" s="10" customFormat="1" ht="60.75" customHeight="1">
      <c r="A34" s="47"/>
      <c r="B34" s="132"/>
      <c r="C34" s="23" t="s">
        <v>129</v>
      </c>
      <c r="D34" s="24"/>
      <c r="E34" s="36"/>
      <c r="F34" s="86">
        <v>654084500</v>
      </c>
      <c r="G34" s="86">
        <v>654084500</v>
      </c>
      <c r="H34" s="86">
        <v>236600148.68000001</v>
      </c>
      <c r="I34" s="11" t="s">
        <v>236</v>
      </c>
    </row>
    <row r="35" spans="1:9" s="10" customFormat="1" ht="105.75" customHeight="1">
      <c r="A35" s="47"/>
      <c r="B35" s="132"/>
      <c r="C35" s="23" t="s">
        <v>130</v>
      </c>
      <c r="D35" s="24"/>
      <c r="E35" s="36"/>
      <c r="F35" s="86">
        <v>390000</v>
      </c>
      <c r="G35" s="86">
        <v>390000</v>
      </c>
      <c r="H35" s="86">
        <v>22600</v>
      </c>
      <c r="I35" s="11"/>
    </row>
    <row r="36" spans="1:9" s="10" customFormat="1" ht="73.5" hidden="1" customHeight="1">
      <c r="A36" s="47"/>
      <c r="B36" s="132"/>
      <c r="C36" s="23" t="s">
        <v>131</v>
      </c>
      <c r="D36" s="24"/>
      <c r="E36" s="36"/>
      <c r="F36" s="86">
        <v>0</v>
      </c>
      <c r="G36" s="36">
        <v>0</v>
      </c>
      <c r="H36" s="86">
        <v>0</v>
      </c>
      <c r="I36" s="11" t="s">
        <v>139</v>
      </c>
    </row>
    <row r="37" spans="1:9" s="10" customFormat="1" ht="105" hidden="1" customHeight="1">
      <c r="A37" s="47"/>
      <c r="B37" s="132"/>
      <c r="C37" s="23" t="s">
        <v>134</v>
      </c>
      <c r="D37" s="24"/>
      <c r="E37" s="36"/>
      <c r="F37" s="86">
        <v>0</v>
      </c>
      <c r="G37" s="36">
        <v>0</v>
      </c>
      <c r="H37" s="86">
        <v>0</v>
      </c>
      <c r="I37" s="11"/>
    </row>
    <row r="38" spans="1:9" s="10" customFormat="1" ht="105" customHeight="1">
      <c r="A38" s="47"/>
      <c r="B38" s="132"/>
      <c r="C38" s="23" t="s">
        <v>143</v>
      </c>
      <c r="D38" s="24"/>
      <c r="E38" s="36"/>
      <c r="F38" s="86">
        <v>200000</v>
      </c>
      <c r="G38" s="36">
        <v>200000</v>
      </c>
      <c r="H38" s="86">
        <v>93888</v>
      </c>
      <c r="I38" s="11"/>
    </row>
    <row r="39" spans="1:9" s="10" customFormat="1" ht="56.25">
      <c r="A39" s="48"/>
      <c r="B39" s="133"/>
      <c r="C39" s="23" t="s">
        <v>29</v>
      </c>
      <c r="D39" s="24">
        <v>39812000</v>
      </c>
      <c r="E39" s="36">
        <v>38602489.630000003</v>
      </c>
      <c r="F39" s="86">
        <v>43655600</v>
      </c>
      <c r="G39" s="36">
        <v>43995400</v>
      </c>
      <c r="H39" s="86">
        <v>41906903.640000001</v>
      </c>
      <c r="I39" s="11" t="s">
        <v>237</v>
      </c>
    </row>
    <row r="40" spans="1:9" s="10" customFormat="1" ht="93.75" hidden="1">
      <c r="A40" s="47"/>
      <c r="B40" s="85"/>
      <c r="C40" s="79" t="s">
        <v>195</v>
      </c>
      <c r="D40" s="24"/>
      <c r="E40" s="36"/>
      <c r="F40" s="36">
        <v>0</v>
      </c>
      <c r="G40" s="36">
        <v>0</v>
      </c>
      <c r="H40" s="72">
        <v>0</v>
      </c>
      <c r="I40" s="11"/>
    </row>
    <row r="41" spans="1:9" s="10" customFormat="1" ht="112.5" hidden="1">
      <c r="A41" s="47"/>
      <c r="B41" s="85"/>
      <c r="C41" s="79" t="s">
        <v>196</v>
      </c>
      <c r="D41" s="24"/>
      <c r="E41" s="36"/>
      <c r="F41" s="36">
        <v>0</v>
      </c>
      <c r="G41" s="36">
        <v>0</v>
      </c>
      <c r="H41" s="72">
        <v>0</v>
      </c>
      <c r="I41" s="11"/>
    </row>
    <row r="42" spans="1:9" s="10" customFormat="1" ht="114.75" customHeight="1">
      <c r="A42" s="195"/>
      <c r="B42" s="161" t="s">
        <v>97</v>
      </c>
      <c r="C42" s="162"/>
      <c r="D42" s="93">
        <v>2912300</v>
      </c>
      <c r="E42" s="93">
        <v>2899022.56</v>
      </c>
      <c r="F42" s="94">
        <f>F43+F44+F45+F46+F47+F48+F49+F50+F51+F52</f>
        <v>1186500</v>
      </c>
      <c r="G42" s="94">
        <f>G43+G44+G45+G46+G47+G48+G49+G50+G51+G52</f>
        <v>2686500</v>
      </c>
      <c r="H42" s="94">
        <f>H43+H44+H45+H46+H47+H48+H49+H50+H51+H52</f>
        <v>831464.97</v>
      </c>
      <c r="I42" s="56"/>
    </row>
    <row r="43" spans="1:9" s="10" customFormat="1" ht="268.5" customHeight="1">
      <c r="A43" s="196"/>
      <c r="B43" s="143" t="s">
        <v>12</v>
      </c>
      <c r="C43" s="63" t="s">
        <v>146</v>
      </c>
      <c r="D43" s="28"/>
      <c r="E43" s="28"/>
      <c r="F43" s="53">
        <v>681800</v>
      </c>
      <c r="G43" s="43">
        <v>681800</v>
      </c>
      <c r="H43" s="53">
        <v>0</v>
      </c>
      <c r="I43" s="56" t="s">
        <v>238</v>
      </c>
    </row>
    <row r="44" spans="1:9" s="10" customFormat="1" ht="283.5" customHeight="1">
      <c r="A44" s="196"/>
      <c r="B44" s="167"/>
      <c r="C44" s="63" t="s">
        <v>148</v>
      </c>
      <c r="D44" s="28"/>
      <c r="E44" s="28"/>
      <c r="F44" s="53">
        <v>227300</v>
      </c>
      <c r="G44" s="43">
        <v>227300</v>
      </c>
      <c r="H44" s="53">
        <v>0</v>
      </c>
      <c r="I44" s="56" t="s">
        <v>239</v>
      </c>
    </row>
    <row r="45" spans="1:9" s="10" customFormat="1" ht="54.75" hidden="1" customHeight="1">
      <c r="A45" s="196"/>
      <c r="B45" s="167"/>
      <c r="C45" s="11" t="s">
        <v>151</v>
      </c>
      <c r="D45" s="28"/>
      <c r="E45" s="28"/>
      <c r="F45" s="53">
        <v>0</v>
      </c>
      <c r="G45" s="43">
        <v>0</v>
      </c>
      <c r="H45" s="53"/>
      <c r="I45" s="56"/>
    </row>
    <row r="46" spans="1:9" s="10" customFormat="1" ht="131.25" hidden="1">
      <c r="A46" s="196"/>
      <c r="B46" s="167"/>
      <c r="C46" s="83" t="s">
        <v>153</v>
      </c>
      <c r="D46" s="28"/>
      <c r="E46" s="28"/>
      <c r="F46" s="53">
        <v>0</v>
      </c>
      <c r="G46" s="43">
        <v>0</v>
      </c>
      <c r="H46" s="53"/>
      <c r="I46" s="56"/>
    </row>
    <row r="47" spans="1:9" s="10" customFormat="1" ht="168.75" hidden="1">
      <c r="A47" s="196"/>
      <c r="B47" s="167"/>
      <c r="C47" s="83" t="s">
        <v>155</v>
      </c>
      <c r="D47" s="28"/>
      <c r="E47" s="28"/>
      <c r="F47" s="53">
        <v>0</v>
      </c>
      <c r="G47" s="43">
        <v>0</v>
      </c>
      <c r="H47" s="53"/>
      <c r="I47" s="56"/>
    </row>
    <row r="48" spans="1:9" s="10" customFormat="1" ht="56.25">
      <c r="A48" s="196"/>
      <c r="B48" s="167"/>
      <c r="C48" s="83" t="s">
        <v>157</v>
      </c>
      <c r="D48" s="28"/>
      <c r="E48" s="28"/>
      <c r="F48" s="53">
        <v>49500</v>
      </c>
      <c r="G48" s="43">
        <v>49500</v>
      </c>
      <c r="H48" s="53">
        <v>0</v>
      </c>
      <c r="I48" s="56" t="s">
        <v>240</v>
      </c>
    </row>
    <row r="49" spans="1:9" s="10" customFormat="1" ht="93.75">
      <c r="A49" s="196"/>
      <c r="B49" s="167"/>
      <c r="C49" s="83" t="s">
        <v>159</v>
      </c>
      <c r="D49" s="28"/>
      <c r="E49" s="28"/>
      <c r="F49" s="53">
        <v>27900</v>
      </c>
      <c r="G49" s="43">
        <v>27900</v>
      </c>
      <c r="H49" s="53">
        <v>0</v>
      </c>
      <c r="I49" s="56" t="s">
        <v>241</v>
      </c>
    </row>
    <row r="50" spans="1:9" s="10" customFormat="1" ht="168.75">
      <c r="A50" s="196"/>
      <c r="B50" s="167"/>
      <c r="C50" s="11" t="s">
        <v>150</v>
      </c>
      <c r="D50" s="28"/>
      <c r="E50" s="28"/>
      <c r="F50" s="53">
        <v>200000</v>
      </c>
      <c r="G50" s="43">
        <v>200000</v>
      </c>
      <c r="H50" s="53">
        <v>90364.97</v>
      </c>
      <c r="I50" s="56"/>
    </row>
    <row r="51" spans="1:9" s="10" customFormat="1" hidden="1">
      <c r="A51" s="196"/>
      <c r="B51" s="167"/>
      <c r="C51" s="62" t="s">
        <v>144</v>
      </c>
      <c r="D51" s="28"/>
      <c r="E51" s="28"/>
      <c r="F51" s="53">
        <v>0</v>
      </c>
      <c r="G51" s="43">
        <v>0</v>
      </c>
      <c r="H51" s="53">
        <v>0</v>
      </c>
      <c r="I51" s="56"/>
    </row>
    <row r="52" spans="1:9" s="10" customFormat="1" ht="37.5">
      <c r="A52" s="196"/>
      <c r="B52" s="167"/>
      <c r="C52" s="11" t="s">
        <v>145</v>
      </c>
      <c r="D52" s="28"/>
      <c r="E52" s="28"/>
      <c r="F52" s="53">
        <v>0</v>
      </c>
      <c r="G52" s="43">
        <v>1500000</v>
      </c>
      <c r="H52" s="53">
        <v>741100</v>
      </c>
      <c r="I52" s="56"/>
    </row>
    <row r="53" spans="1:9" s="10" customFormat="1" ht="96" customHeight="1">
      <c r="A53" s="131"/>
      <c r="B53" s="165" t="s">
        <v>98</v>
      </c>
      <c r="C53" s="166"/>
      <c r="D53" s="93">
        <f>13004200+D66+D67</f>
        <v>321082200</v>
      </c>
      <c r="E53" s="93">
        <f>E66+E67+12824804.28</f>
        <v>240324804.28</v>
      </c>
      <c r="F53" s="93">
        <f>F54+F55+F56+F57+F58+F59+F60+F61+F62+F63+F64+F65+F66+F67</f>
        <v>29281800</v>
      </c>
      <c r="G53" s="93">
        <f>G54+G55+G56+G57+G58+G59+G60+G61+G62+G63+G64+G65+G66+G67</f>
        <v>35081000</v>
      </c>
      <c r="H53" s="93">
        <f>H54+H55+H56+H57+H58+H59+H60+H61+H62+H63+H64+H65+H66+H67</f>
        <v>11552780</v>
      </c>
      <c r="I53" s="70"/>
    </row>
    <row r="54" spans="1:9" s="10" customFormat="1" ht="131.25" hidden="1">
      <c r="A54" s="132"/>
      <c r="B54" s="143" t="s">
        <v>12</v>
      </c>
      <c r="C54" s="67" t="s">
        <v>161</v>
      </c>
      <c r="D54" s="64"/>
      <c r="E54" s="64"/>
      <c r="F54" s="65">
        <v>0</v>
      </c>
      <c r="G54" s="65">
        <v>0</v>
      </c>
      <c r="H54" s="73">
        <v>0</v>
      </c>
      <c r="I54" s="83"/>
    </row>
    <row r="55" spans="1:9" s="10" customFormat="1" ht="56.25" hidden="1">
      <c r="A55" s="132"/>
      <c r="B55" s="167"/>
      <c r="C55" s="67" t="s">
        <v>162</v>
      </c>
      <c r="D55" s="64"/>
      <c r="E55" s="64"/>
      <c r="F55" s="65">
        <v>0</v>
      </c>
      <c r="G55" s="65">
        <v>0</v>
      </c>
      <c r="H55" s="73">
        <v>0</v>
      </c>
      <c r="I55" s="83"/>
    </row>
    <row r="56" spans="1:9" s="10" customFormat="1" ht="75">
      <c r="A56" s="132"/>
      <c r="B56" s="167"/>
      <c r="C56" s="67" t="s">
        <v>163</v>
      </c>
      <c r="D56" s="64"/>
      <c r="E56" s="64"/>
      <c r="F56" s="65">
        <v>0</v>
      </c>
      <c r="G56" s="65">
        <v>2000000</v>
      </c>
      <c r="H56" s="90">
        <f>53280+1700000</f>
        <v>1753280</v>
      </c>
      <c r="I56" s="83"/>
    </row>
    <row r="57" spans="1:9" s="10" customFormat="1" ht="75">
      <c r="A57" s="132"/>
      <c r="B57" s="167"/>
      <c r="C57" s="67" t="s">
        <v>165</v>
      </c>
      <c r="D57" s="64"/>
      <c r="E57" s="64"/>
      <c r="F57" s="65">
        <v>0</v>
      </c>
      <c r="G57" s="65">
        <v>1810500</v>
      </c>
      <c r="H57" s="73">
        <v>1045400</v>
      </c>
      <c r="I57" s="66"/>
    </row>
    <row r="58" spans="1:9" s="10" customFormat="1" ht="56.25">
      <c r="A58" s="132"/>
      <c r="B58" s="167"/>
      <c r="C58" s="67" t="s">
        <v>164</v>
      </c>
      <c r="D58" s="64"/>
      <c r="E58" s="64"/>
      <c r="F58" s="65">
        <v>0</v>
      </c>
      <c r="G58" s="65">
        <v>1644600</v>
      </c>
      <c r="H58" s="73">
        <v>1100000</v>
      </c>
      <c r="I58" s="66"/>
    </row>
    <row r="59" spans="1:9" s="10" customFormat="1" ht="93.75">
      <c r="A59" s="132"/>
      <c r="B59" s="167"/>
      <c r="C59" s="67" t="s">
        <v>166</v>
      </c>
      <c r="D59" s="64"/>
      <c r="E59" s="64"/>
      <c r="F59" s="65">
        <v>2300000</v>
      </c>
      <c r="G59" s="65">
        <v>2100000</v>
      </c>
      <c r="H59" s="73">
        <v>310000</v>
      </c>
      <c r="I59" s="83"/>
    </row>
    <row r="60" spans="1:9" s="10" customFormat="1" ht="106.5" customHeight="1">
      <c r="A60" s="132"/>
      <c r="B60" s="167"/>
      <c r="C60" s="67" t="s">
        <v>167</v>
      </c>
      <c r="D60" s="64"/>
      <c r="E60" s="64"/>
      <c r="F60" s="65">
        <v>0</v>
      </c>
      <c r="G60" s="65">
        <v>200000</v>
      </c>
      <c r="H60" s="73">
        <v>0</v>
      </c>
      <c r="I60" s="83"/>
    </row>
    <row r="61" spans="1:9" s="10" customFormat="1" ht="56.25">
      <c r="A61" s="132"/>
      <c r="B61" s="167"/>
      <c r="C61" s="67" t="s">
        <v>168</v>
      </c>
      <c r="D61" s="64"/>
      <c r="E61" s="64"/>
      <c r="F61" s="65">
        <v>0</v>
      </c>
      <c r="G61" s="65">
        <f>234000+110100</f>
        <v>344100</v>
      </c>
      <c r="H61" s="73">
        <f>23400+210600+11000+99100</f>
        <v>344100</v>
      </c>
      <c r="I61" s="11" t="s">
        <v>220</v>
      </c>
    </row>
    <row r="62" spans="1:9" s="10" customFormat="1" ht="56.25" hidden="1">
      <c r="A62" s="132"/>
      <c r="B62" s="167"/>
      <c r="C62" s="67" t="s">
        <v>170</v>
      </c>
      <c r="D62" s="64"/>
      <c r="E62" s="64"/>
      <c r="F62" s="65">
        <v>0</v>
      </c>
      <c r="G62" s="65">
        <v>0</v>
      </c>
      <c r="H62" s="73">
        <v>0</v>
      </c>
      <c r="I62" s="83"/>
    </row>
    <row r="63" spans="1:9" s="10" customFormat="1" ht="56.25" hidden="1">
      <c r="A63" s="132"/>
      <c r="B63" s="167"/>
      <c r="C63" s="67" t="s">
        <v>171</v>
      </c>
      <c r="D63" s="64"/>
      <c r="E63" s="64"/>
      <c r="F63" s="65">
        <v>0</v>
      </c>
      <c r="G63" s="65">
        <v>0</v>
      </c>
      <c r="H63" s="73">
        <v>0</v>
      </c>
      <c r="I63" s="83"/>
    </row>
    <row r="64" spans="1:9" s="10" customFormat="1" ht="37.5" hidden="1">
      <c r="A64" s="132"/>
      <c r="B64" s="167"/>
      <c r="C64" s="67" t="s">
        <v>172</v>
      </c>
      <c r="D64" s="64"/>
      <c r="E64" s="64"/>
      <c r="F64" s="65">
        <v>0</v>
      </c>
      <c r="G64" s="65">
        <v>0</v>
      </c>
      <c r="H64" s="73">
        <v>0</v>
      </c>
      <c r="I64" s="83"/>
    </row>
    <row r="65" spans="1:9" s="10" customFormat="1" ht="56.25" hidden="1">
      <c r="A65" s="132"/>
      <c r="B65" s="167"/>
      <c r="C65" s="67" t="s">
        <v>173</v>
      </c>
      <c r="D65" s="64"/>
      <c r="E65" s="64"/>
      <c r="F65" s="65">
        <v>0</v>
      </c>
      <c r="G65" s="65">
        <v>0</v>
      </c>
      <c r="H65" s="73">
        <v>0</v>
      </c>
      <c r="I65" s="83"/>
    </row>
    <row r="66" spans="1:9" s="10" customFormat="1" ht="60" customHeight="1">
      <c r="A66" s="132"/>
      <c r="B66" s="167"/>
      <c r="C66" s="68" t="s">
        <v>55</v>
      </c>
      <c r="D66" s="84">
        <v>5000000</v>
      </c>
      <c r="E66" s="84">
        <v>5000000</v>
      </c>
      <c r="F66" s="65">
        <v>7000000</v>
      </c>
      <c r="G66" s="65">
        <v>7000000</v>
      </c>
      <c r="H66" s="90">
        <v>7000000</v>
      </c>
      <c r="I66" s="11"/>
    </row>
    <row r="67" spans="1:9" s="10" customFormat="1" ht="37.5">
      <c r="A67" s="133"/>
      <c r="B67" s="144"/>
      <c r="C67" s="69" t="s">
        <v>23</v>
      </c>
      <c r="D67" s="12">
        <f>60500000+242578000</f>
        <v>303078000</v>
      </c>
      <c r="E67" s="12">
        <f>60500000+162000000</f>
        <v>222500000</v>
      </c>
      <c r="F67" s="43">
        <v>19981800</v>
      </c>
      <c r="G67" s="43">
        <v>19981800</v>
      </c>
      <c r="H67" s="53">
        <v>0</v>
      </c>
      <c r="I67" s="11"/>
    </row>
    <row r="68" spans="1:9" s="10" customFormat="1" ht="86.25" customHeight="1">
      <c r="A68" s="131"/>
      <c r="B68" s="161" t="s">
        <v>41</v>
      </c>
      <c r="C68" s="162"/>
      <c r="D68" s="93">
        <f>2120000+160000+117000+72000</f>
        <v>2469000</v>
      </c>
      <c r="E68" s="93">
        <f>2120000+160000+117000+72000</f>
        <v>2469000</v>
      </c>
      <c r="F68" s="94">
        <f>F69+F70+F71+F72+F73+F74+F75+F76+F77+F78+F79+F80+F81+F82+F83+F84+F85+F86</f>
        <v>826830700</v>
      </c>
      <c r="G68" s="94">
        <f>G69+G70+G71+G72+G73+G74+G75+G76+G77+G78+G79+G80+G81+G82+G83+G84+G85+G86</f>
        <v>892928700</v>
      </c>
      <c r="H68" s="94">
        <f>H69+H70+H71+H72+H73+H74+H75+H76+H77+H78+H79+H80+H81+H82+H83+H84+H85+H86</f>
        <v>428313429.50999999</v>
      </c>
      <c r="I68" s="11"/>
    </row>
    <row r="69" spans="1:9" s="10" customFormat="1" ht="37.5">
      <c r="A69" s="132"/>
      <c r="B69" s="192" t="s">
        <v>135</v>
      </c>
      <c r="C69" s="11" t="s">
        <v>26</v>
      </c>
      <c r="D69" s="12">
        <v>100375000</v>
      </c>
      <c r="E69" s="12">
        <v>100375000</v>
      </c>
      <c r="F69" s="88">
        <v>132000000</v>
      </c>
      <c r="G69" s="88">
        <v>132000000</v>
      </c>
      <c r="H69" s="88">
        <f>8380+72355675.73</f>
        <v>72364055.730000004</v>
      </c>
      <c r="I69" s="13"/>
    </row>
    <row r="70" spans="1:9" s="10" customFormat="1" ht="37.5">
      <c r="A70" s="132"/>
      <c r="B70" s="193"/>
      <c r="C70" s="11" t="s">
        <v>8</v>
      </c>
      <c r="D70" s="12">
        <v>15000</v>
      </c>
      <c r="E70" s="12">
        <v>0</v>
      </c>
      <c r="F70" s="88">
        <v>30000</v>
      </c>
      <c r="G70" s="88">
        <v>30000</v>
      </c>
      <c r="H70" s="88">
        <v>0</v>
      </c>
      <c r="I70" s="13"/>
    </row>
    <row r="71" spans="1:9" s="10" customFormat="1" ht="37.5">
      <c r="A71" s="132"/>
      <c r="B71" s="193"/>
      <c r="C71" s="11" t="s">
        <v>9</v>
      </c>
      <c r="D71" s="12">
        <v>600000</v>
      </c>
      <c r="E71" s="12">
        <v>600000</v>
      </c>
      <c r="F71" s="88">
        <v>600000</v>
      </c>
      <c r="G71" s="88">
        <v>600000</v>
      </c>
      <c r="H71" s="88">
        <v>0</v>
      </c>
      <c r="I71" s="13"/>
    </row>
    <row r="72" spans="1:9" s="10" customFormat="1" ht="56.25">
      <c r="A72" s="132"/>
      <c r="B72" s="193"/>
      <c r="C72" s="23" t="s">
        <v>20</v>
      </c>
      <c r="D72" s="12">
        <f>221495400+183735800</f>
        <v>405231200</v>
      </c>
      <c r="E72" s="12">
        <f>221495400+183735800</f>
        <v>405231200</v>
      </c>
      <c r="F72" s="88">
        <f>289580700+153203200</f>
        <v>442783900</v>
      </c>
      <c r="G72" s="88">
        <f>289580700+153203200</f>
        <v>442783900</v>
      </c>
      <c r="H72" s="88">
        <v>231315362.84999999</v>
      </c>
      <c r="I72" s="11" t="s">
        <v>242</v>
      </c>
    </row>
    <row r="73" spans="1:9" s="10" customFormat="1" ht="56.25">
      <c r="A73" s="132"/>
      <c r="B73" s="193"/>
      <c r="C73" s="22" t="s">
        <v>10</v>
      </c>
      <c r="D73" s="12">
        <f>44300+1000</f>
        <v>45300</v>
      </c>
      <c r="E73" s="12">
        <v>0</v>
      </c>
      <c r="F73" s="88">
        <v>53300</v>
      </c>
      <c r="G73" s="88">
        <v>53300</v>
      </c>
      <c r="H73" s="88">
        <v>0</v>
      </c>
      <c r="I73" s="11" t="s">
        <v>243</v>
      </c>
    </row>
    <row r="74" spans="1:9" s="10" customFormat="1" ht="56.25">
      <c r="A74" s="132"/>
      <c r="B74" s="193"/>
      <c r="C74" s="22" t="s">
        <v>56</v>
      </c>
      <c r="D74" s="12">
        <f>38313700+13169600</f>
        <v>51483300</v>
      </c>
      <c r="E74" s="12">
        <f>38313700+13169600</f>
        <v>51483300</v>
      </c>
      <c r="F74" s="88">
        <v>38313700</v>
      </c>
      <c r="G74" s="88">
        <v>38313700</v>
      </c>
      <c r="H74" s="88">
        <v>17802937</v>
      </c>
      <c r="I74" s="11"/>
    </row>
    <row r="75" spans="1:9" s="10" customFormat="1" ht="93.75">
      <c r="A75" s="132"/>
      <c r="B75" s="193"/>
      <c r="C75" s="34" t="s">
        <v>34</v>
      </c>
      <c r="D75" s="13">
        <v>38100</v>
      </c>
      <c r="E75" s="36">
        <v>12855.37</v>
      </c>
      <c r="F75" s="89">
        <v>25300</v>
      </c>
      <c r="G75" s="89">
        <v>25300</v>
      </c>
      <c r="H75" s="89">
        <v>0</v>
      </c>
      <c r="I75" s="11" t="s">
        <v>229</v>
      </c>
    </row>
    <row r="76" spans="1:9" s="10" customFormat="1" ht="112.5">
      <c r="A76" s="132"/>
      <c r="B76" s="193"/>
      <c r="C76" s="34" t="s">
        <v>35</v>
      </c>
      <c r="D76" s="24">
        <v>4036300</v>
      </c>
      <c r="E76" s="36">
        <v>3469266.14</v>
      </c>
      <c r="F76" s="89">
        <v>5012300</v>
      </c>
      <c r="G76" s="89">
        <v>5012300</v>
      </c>
      <c r="H76" s="89">
        <v>1762240.79</v>
      </c>
      <c r="I76" s="11" t="s">
        <v>244</v>
      </c>
    </row>
    <row r="77" spans="1:9" s="10" customFormat="1" ht="75" hidden="1" customHeight="1">
      <c r="A77" s="132"/>
      <c r="B77" s="193"/>
      <c r="C77" s="34" t="s">
        <v>178</v>
      </c>
      <c r="D77" s="24"/>
      <c r="E77" s="36"/>
      <c r="F77" s="71">
        <v>0</v>
      </c>
      <c r="G77" s="89">
        <v>0</v>
      </c>
      <c r="H77" s="89">
        <v>0</v>
      </c>
      <c r="I77" s="11"/>
    </row>
    <row r="78" spans="1:9" s="10" customFormat="1" ht="56.25" hidden="1" customHeight="1">
      <c r="A78" s="132"/>
      <c r="B78" s="193"/>
      <c r="C78" s="34" t="s">
        <v>179</v>
      </c>
      <c r="D78" s="24"/>
      <c r="E78" s="36"/>
      <c r="F78" s="71">
        <v>0</v>
      </c>
      <c r="G78" s="89">
        <v>0</v>
      </c>
      <c r="H78" s="89">
        <v>0</v>
      </c>
      <c r="I78" s="11"/>
    </row>
    <row r="79" spans="1:9" s="10" customFormat="1" ht="56.25" hidden="1" customHeight="1">
      <c r="A79" s="132"/>
      <c r="B79" s="193"/>
      <c r="C79" s="34" t="s">
        <v>180</v>
      </c>
      <c r="D79" s="24"/>
      <c r="E79" s="36"/>
      <c r="F79" s="71">
        <v>0</v>
      </c>
      <c r="G79" s="89">
        <v>0</v>
      </c>
      <c r="H79" s="89">
        <v>0</v>
      </c>
      <c r="I79" s="11"/>
    </row>
    <row r="80" spans="1:9" s="10" customFormat="1" ht="56.25">
      <c r="A80" s="132"/>
      <c r="B80" s="193"/>
      <c r="C80" s="34" t="s">
        <v>183</v>
      </c>
      <c r="D80" s="24"/>
      <c r="E80" s="36"/>
      <c r="F80" s="71">
        <v>0</v>
      </c>
      <c r="G80" s="89">
        <v>110000</v>
      </c>
      <c r="H80" s="89">
        <v>110000</v>
      </c>
      <c r="I80" s="11"/>
    </row>
    <row r="81" spans="1:9" s="10" customFormat="1" ht="93.75" hidden="1">
      <c r="A81" s="132"/>
      <c r="B81" s="193"/>
      <c r="C81" s="34" t="s">
        <v>184</v>
      </c>
      <c r="D81" s="24"/>
      <c r="E81" s="36"/>
      <c r="F81" s="71">
        <v>0</v>
      </c>
      <c r="G81" s="89">
        <v>0</v>
      </c>
      <c r="H81" s="89">
        <v>0</v>
      </c>
      <c r="I81" s="11"/>
    </row>
    <row r="82" spans="1:9" s="10" customFormat="1" ht="93.75">
      <c r="A82" s="132"/>
      <c r="B82" s="193"/>
      <c r="C82" s="34" t="s">
        <v>185</v>
      </c>
      <c r="D82" s="24"/>
      <c r="E82" s="36"/>
      <c r="F82" s="71">
        <v>0</v>
      </c>
      <c r="G82" s="89">
        <f>20000+30000</f>
        <v>50000</v>
      </c>
      <c r="H82" s="89">
        <v>20000</v>
      </c>
      <c r="I82" s="11"/>
    </row>
    <row r="83" spans="1:9" s="10" customFormat="1" ht="62.25" hidden="1" customHeight="1">
      <c r="A83" s="132"/>
      <c r="B83" s="193"/>
      <c r="C83" s="34" t="s">
        <v>186</v>
      </c>
      <c r="D83" s="24"/>
      <c r="E83" s="36"/>
      <c r="F83" s="71">
        <v>0</v>
      </c>
      <c r="G83" s="89">
        <v>0</v>
      </c>
      <c r="H83" s="89">
        <v>0</v>
      </c>
      <c r="I83" s="11"/>
    </row>
    <row r="84" spans="1:9" s="10" customFormat="1" ht="131.25">
      <c r="A84" s="133"/>
      <c r="B84" s="193"/>
      <c r="C84" s="34" t="s">
        <v>36</v>
      </c>
      <c r="D84" s="24">
        <v>188484500</v>
      </c>
      <c r="E84" s="36">
        <v>188484500</v>
      </c>
      <c r="F84" s="89">
        <v>208012200</v>
      </c>
      <c r="G84" s="89">
        <v>208012200</v>
      </c>
      <c r="H84" s="89">
        <v>90826920.260000005</v>
      </c>
      <c r="I84" s="11" t="s">
        <v>245</v>
      </c>
    </row>
    <row r="85" spans="1:9" s="10" customFormat="1" ht="112.5" hidden="1">
      <c r="A85" s="32"/>
      <c r="B85" s="193"/>
      <c r="C85" s="27" t="s">
        <v>188</v>
      </c>
      <c r="D85" s="12"/>
      <c r="E85" s="28"/>
      <c r="F85" s="43">
        <v>0</v>
      </c>
      <c r="G85" s="88">
        <v>0</v>
      </c>
      <c r="H85" s="88">
        <v>0</v>
      </c>
      <c r="I85" s="13"/>
    </row>
    <row r="86" spans="1:9" s="10" customFormat="1" ht="93.75" customHeight="1">
      <c r="A86" s="32"/>
      <c r="B86" s="194"/>
      <c r="C86" s="27" t="s">
        <v>217</v>
      </c>
      <c r="D86" s="12"/>
      <c r="E86" s="28"/>
      <c r="F86" s="43">
        <v>0</v>
      </c>
      <c r="G86" s="88">
        <v>65938000</v>
      </c>
      <c r="H86" s="88">
        <v>14111912.880000001</v>
      </c>
      <c r="I86" s="11" t="s">
        <v>246</v>
      </c>
    </row>
    <row r="87" spans="1:9" s="10" customFormat="1" ht="66.75" customHeight="1">
      <c r="A87" s="38">
        <v>5</v>
      </c>
      <c r="B87" s="141" t="s">
        <v>22</v>
      </c>
      <c r="C87" s="142"/>
      <c r="D87" s="9">
        <v>33309103</v>
      </c>
      <c r="E87" s="9">
        <v>33309102.949999999</v>
      </c>
      <c r="F87" s="51">
        <v>47483700</v>
      </c>
      <c r="G87" s="51">
        <v>47483700</v>
      </c>
      <c r="H87" s="51">
        <v>24046925.129999999</v>
      </c>
      <c r="I87" s="13"/>
    </row>
    <row r="88" spans="1:9" s="10" customFormat="1" ht="144" customHeight="1">
      <c r="A88" s="39">
        <v>6</v>
      </c>
      <c r="B88" s="139" t="s">
        <v>43</v>
      </c>
      <c r="C88" s="139"/>
      <c r="D88" s="40">
        <v>3152500</v>
      </c>
      <c r="E88" s="40">
        <v>3130229.34</v>
      </c>
      <c r="F88" s="54">
        <v>2937700</v>
      </c>
      <c r="G88" s="54">
        <v>2937700</v>
      </c>
      <c r="H88" s="54">
        <v>1346284.12</v>
      </c>
      <c r="I88" s="13"/>
    </row>
    <row r="89" spans="1:9" s="10" customFormat="1" ht="68.25" customHeight="1">
      <c r="A89" s="39">
        <v>7</v>
      </c>
      <c r="B89" s="140" t="s">
        <v>102</v>
      </c>
      <c r="C89" s="140"/>
      <c r="D89" s="41">
        <v>2633900</v>
      </c>
      <c r="E89" s="41">
        <v>1740839.97</v>
      </c>
      <c r="F89" s="54">
        <v>0</v>
      </c>
      <c r="G89" s="54">
        <v>0</v>
      </c>
      <c r="H89" s="54">
        <v>0</v>
      </c>
      <c r="I89" s="11"/>
    </row>
    <row r="90" spans="1:9" s="10" customFormat="1" ht="60" customHeight="1">
      <c r="A90" s="39">
        <v>8</v>
      </c>
      <c r="B90" s="160" t="s">
        <v>127</v>
      </c>
      <c r="C90" s="160"/>
      <c r="D90" s="41">
        <v>100000</v>
      </c>
      <c r="E90" s="41">
        <v>100000</v>
      </c>
      <c r="F90" s="54">
        <v>0</v>
      </c>
      <c r="G90" s="54">
        <v>920000</v>
      </c>
      <c r="H90" s="54">
        <v>920000</v>
      </c>
      <c r="I90" s="11"/>
    </row>
    <row r="91" spans="1:9" s="10" customFormat="1" ht="60" customHeight="1">
      <c r="A91" s="39">
        <v>9</v>
      </c>
      <c r="B91" s="197" t="s">
        <v>194</v>
      </c>
      <c r="C91" s="198"/>
      <c r="D91" s="41"/>
      <c r="E91" s="41"/>
      <c r="F91" s="54">
        <v>0</v>
      </c>
      <c r="G91" s="54">
        <v>0</v>
      </c>
      <c r="H91" s="54">
        <v>0</v>
      </c>
      <c r="I91" s="11"/>
    </row>
    <row r="92" spans="1:9" s="10" customFormat="1" ht="60" customHeight="1">
      <c r="A92" s="39">
        <v>10</v>
      </c>
      <c r="B92" s="197" t="s">
        <v>221</v>
      </c>
      <c r="C92" s="198"/>
      <c r="D92" s="41"/>
      <c r="E92" s="41"/>
      <c r="F92" s="54">
        <v>0</v>
      </c>
      <c r="G92" s="54">
        <v>3700000</v>
      </c>
      <c r="H92" s="54">
        <f>591902+85623.6</f>
        <v>677525.6</v>
      </c>
      <c r="I92" s="11"/>
    </row>
    <row r="93" spans="1:9" s="10" customFormat="1" ht="39" customHeight="1">
      <c r="A93" s="31"/>
      <c r="B93" s="147" t="s">
        <v>58</v>
      </c>
      <c r="C93" s="148"/>
      <c r="D93" s="58" t="e">
        <f>D4+D8+D14+D20+#REF!+D87+D88+D89+D90</f>
        <v>#REF!</v>
      </c>
      <c r="E93" s="58" t="e">
        <f>E4+E8+E14+E20+#REF!+E87+E88+E89+E90</f>
        <v>#REF!</v>
      </c>
      <c r="F93" s="59">
        <f>F4+F8+F14+F20+F87+F88+F89+F90+F91+F92</f>
        <v>3094867700</v>
      </c>
      <c r="G93" s="59">
        <f>G4+G8+G14+G20+G87+G88+G89+G90+G91+G92</f>
        <v>3187462700</v>
      </c>
      <c r="H93" s="59">
        <f>H4+H8+H14+H20+H87+H88+H89+H90+H91+H92</f>
        <v>1467187829.6699998</v>
      </c>
      <c r="I93" s="35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5:8">
      <c r="E706" s="2"/>
      <c r="F706" s="2"/>
      <c r="G706" s="2"/>
      <c r="H706" s="2"/>
    </row>
  </sheetData>
  <mergeCells count="44">
    <mergeCell ref="B93:C93"/>
    <mergeCell ref="B87:C87"/>
    <mergeCell ref="B88:C88"/>
    <mergeCell ref="B89:C89"/>
    <mergeCell ref="B90:C90"/>
    <mergeCell ref="B91:C91"/>
    <mergeCell ref="B92:C92"/>
    <mergeCell ref="A53:A67"/>
    <mergeCell ref="B53:C53"/>
    <mergeCell ref="B54:B67"/>
    <mergeCell ref="A68:A84"/>
    <mergeCell ref="B68:C68"/>
    <mergeCell ref="B69:B86"/>
    <mergeCell ref="B26:C26"/>
    <mergeCell ref="B27:C27"/>
    <mergeCell ref="B28:B39"/>
    <mergeCell ref="A42:A52"/>
    <mergeCell ref="B42:C42"/>
    <mergeCell ref="B43:B52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8" fitToHeight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06"/>
  <sheetViews>
    <sheetView view="pageBreakPreview" zoomScale="60" zoomScaleNormal="60" workbookViewId="0">
      <selection sqref="A1:I1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34.42578125" style="1" customWidth="1"/>
    <col min="5" max="5" width="30.85546875" style="1" customWidth="1"/>
    <col min="6" max="6" width="31.85546875" style="1" customWidth="1"/>
    <col min="7" max="7" width="18.28515625" style="1" customWidth="1"/>
    <col min="8" max="8" width="38.140625" style="1" customWidth="1"/>
    <col min="9" max="9" width="22.5703125" style="1" customWidth="1"/>
    <col min="10" max="224" width="8.85546875" style="1" customWidth="1"/>
    <col min="225" max="225" width="2.5703125" style="1" customWidth="1"/>
    <col min="226" max="226" width="46.85546875" style="1" customWidth="1"/>
    <col min="227" max="227" width="13.7109375" style="1" customWidth="1"/>
    <col min="228" max="234" width="0" style="1" hidden="1" customWidth="1"/>
    <col min="235" max="235" width="15.28515625" style="1" customWidth="1"/>
    <col min="236" max="16384" width="0" style="1" hidden="1"/>
  </cols>
  <sheetData>
    <row r="1" spans="1:9" ht="36.75" customHeight="1">
      <c r="A1" s="207" t="s">
        <v>291</v>
      </c>
      <c r="B1" s="207"/>
      <c r="C1" s="207"/>
      <c r="D1" s="207"/>
      <c r="E1" s="207"/>
      <c r="F1" s="207"/>
      <c r="G1" s="207"/>
      <c r="H1" s="207"/>
      <c r="I1" s="207"/>
    </row>
    <row r="2" spans="1:9" s="6" customFormat="1" ht="139.5" customHeight="1">
      <c r="A2" s="145"/>
      <c r="B2" s="172" t="s">
        <v>0</v>
      </c>
      <c r="C2" s="173"/>
      <c r="D2" s="168" t="s">
        <v>198</v>
      </c>
      <c r="E2" s="201" t="s">
        <v>247</v>
      </c>
      <c r="F2" s="170" t="s">
        <v>248</v>
      </c>
      <c r="G2" s="170" t="s">
        <v>270</v>
      </c>
      <c r="H2" s="149" t="s">
        <v>59</v>
      </c>
      <c r="I2" s="121"/>
    </row>
    <row r="3" spans="1:9" s="6" customFormat="1" ht="8.25" customHeight="1">
      <c r="A3" s="146"/>
      <c r="B3" s="174"/>
      <c r="C3" s="175"/>
      <c r="D3" s="169"/>
      <c r="E3" s="202"/>
      <c r="F3" s="171"/>
      <c r="G3" s="171"/>
      <c r="H3" s="150"/>
      <c r="I3" s="121"/>
    </row>
    <row r="4" spans="1:9" s="10" customFormat="1" ht="43.5" customHeight="1">
      <c r="A4" s="131">
        <v>1</v>
      </c>
      <c r="B4" s="141" t="s">
        <v>7</v>
      </c>
      <c r="C4" s="142"/>
      <c r="D4" s="51">
        <f>D5+D6+D7</f>
        <v>38043800</v>
      </c>
      <c r="E4" s="51">
        <f>E5+E6+E7</f>
        <v>37950188</v>
      </c>
      <c r="F4" s="51">
        <f>F5+F6+F7</f>
        <v>25120727.489999998</v>
      </c>
      <c r="G4" s="125">
        <f>F4/E4*100</f>
        <v>66.193947418653096</v>
      </c>
      <c r="H4" s="151" t="s">
        <v>226</v>
      </c>
      <c r="I4" s="96"/>
    </row>
    <row r="5" spans="1:9" s="10" customFormat="1" ht="26.25" customHeight="1">
      <c r="A5" s="132"/>
      <c r="B5" s="178" t="s">
        <v>50</v>
      </c>
      <c r="C5" s="11" t="s">
        <v>51</v>
      </c>
      <c r="D5" s="35">
        <v>34423900</v>
      </c>
      <c r="E5" s="35">
        <f>26643900+7780000</f>
        <v>34423900</v>
      </c>
      <c r="F5" s="87">
        <v>22562702.219999999</v>
      </c>
      <c r="G5" s="124">
        <f>F5/E5*100</f>
        <v>65.543713001722637</v>
      </c>
      <c r="H5" s="152"/>
      <c r="I5" s="152" t="s">
        <v>277</v>
      </c>
    </row>
    <row r="6" spans="1:9" s="10" customFormat="1" ht="26.25" customHeight="1">
      <c r="A6" s="132"/>
      <c r="B6" s="179"/>
      <c r="C6" s="11" t="s">
        <v>17</v>
      </c>
      <c r="D6" s="35">
        <v>168600</v>
      </c>
      <c r="E6" s="35">
        <f>78600+80000+10000-3000</f>
        <v>165600</v>
      </c>
      <c r="F6" s="87">
        <v>14754.47</v>
      </c>
      <c r="G6" s="124">
        <f t="shared" ref="G6:G69" si="0">F6/E6*100</f>
        <v>8.9097041062801932</v>
      </c>
      <c r="H6" s="152"/>
      <c r="I6" s="152"/>
    </row>
    <row r="7" spans="1:9" s="10" customFormat="1" ht="27" customHeight="1">
      <c r="A7" s="133"/>
      <c r="B7" s="180"/>
      <c r="C7" s="11" t="s">
        <v>52</v>
      </c>
      <c r="D7" s="35">
        <v>3451300</v>
      </c>
      <c r="E7" s="35">
        <f>1844600+92000+250000+300000+519700+115000+3000+236388</f>
        <v>3360688</v>
      </c>
      <c r="F7" s="87">
        <f>2558025.27-14754.47</f>
        <v>2543270.7999999998</v>
      </c>
      <c r="G7" s="124">
        <f t="shared" si="0"/>
        <v>75.677087548740019</v>
      </c>
      <c r="H7" s="153"/>
      <c r="I7" s="153"/>
    </row>
    <row r="8" spans="1:9" s="10" customFormat="1" ht="30" customHeight="1">
      <c r="A8" s="131">
        <v>2</v>
      </c>
      <c r="B8" s="176" t="s">
        <v>6</v>
      </c>
      <c r="C8" s="177"/>
      <c r="D8" s="51">
        <f>D9+D10+D11+D12+D13</f>
        <v>1057470000</v>
      </c>
      <c r="E8" s="51">
        <f>E9+E10+E11+E12+E13</f>
        <v>1080023281.27</v>
      </c>
      <c r="F8" s="51">
        <f>F9+F10+F11+F12+F13</f>
        <v>807342482.42999995</v>
      </c>
      <c r="G8" s="59">
        <f t="shared" si="0"/>
        <v>74.752322142597279</v>
      </c>
      <c r="H8" s="151" t="s">
        <v>225</v>
      </c>
      <c r="I8" s="122"/>
    </row>
    <row r="9" spans="1:9" s="10" customFormat="1" ht="32.25" customHeight="1">
      <c r="A9" s="132"/>
      <c r="B9" s="181" t="s">
        <v>50</v>
      </c>
      <c r="C9" s="11" t="s">
        <v>53</v>
      </c>
      <c r="D9" s="55">
        <v>808194600</v>
      </c>
      <c r="E9" s="55">
        <v>825980900</v>
      </c>
      <c r="F9" s="87">
        <v>638913362.38</v>
      </c>
      <c r="G9" s="124">
        <f t="shared" si="0"/>
        <v>77.352074652089414</v>
      </c>
      <c r="H9" s="152"/>
      <c r="I9" s="122"/>
    </row>
    <row r="10" spans="1:9" s="10" customFormat="1" ht="35.25" customHeight="1">
      <c r="A10" s="132"/>
      <c r="B10" s="182"/>
      <c r="C10" s="11" t="s">
        <v>13</v>
      </c>
      <c r="D10" s="55">
        <v>116183300</v>
      </c>
      <c r="E10" s="55">
        <v>116153300</v>
      </c>
      <c r="F10" s="87">
        <v>79502416</v>
      </c>
      <c r="G10" s="124">
        <f t="shared" si="0"/>
        <v>68.446110441976245</v>
      </c>
      <c r="H10" s="152"/>
      <c r="I10" s="122"/>
    </row>
    <row r="11" spans="1:9" s="10" customFormat="1" ht="32.25" customHeight="1">
      <c r="A11" s="132"/>
      <c r="B11" s="182"/>
      <c r="C11" s="11" t="s">
        <v>46</v>
      </c>
      <c r="D11" s="55">
        <v>91638300</v>
      </c>
      <c r="E11" s="55">
        <v>90850000</v>
      </c>
      <c r="F11" s="87">
        <v>61758487</v>
      </c>
      <c r="G11" s="124">
        <f t="shared" si="0"/>
        <v>67.978521739130443</v>
      </c>
      <c r="H11" s="152"/>
      <c r="I11" s="122"/>
    </row>
    <row r="12" spans="1:9" s="10" customFormat="1" ht="32.25" customHeight="1">
      <c r="A12" s="132"/>
      <c r="B12" s="182"/>
      <c r="C12" s="11" t="s">
        <v>47</v>
      </c>
      <c r="D12" s="55">
        <f>755800+7236200</f>
        <v>7992000</v>
      </c>
      <c r="E12" s="55">
        <f>755800+7236200</f>
        <v>7992000</v>
      </c>
      <c r="F12" s="87">
        <v>5155285</v>
      </c>
      <c r="G12" s="124">
        <f t="shared" si="0"/>
        <v>64.505568068068058</v>
      </c>
      <c r="H12" s="152"/>
      <c r="I12" s="122"/>
    </row>
    <row r="13" spans="1:9" s="10" customFormat="1" ht="30" customHeight="1">
      <c r="A13" s="133"/>
      <c r="B13" s="183"/>
      <c r="C13" s="11" t="s">
        <v>48</v>
      </c>
      <c r="D13" s="35">
        <v>33461800</v>
      </c>
      <c r="E13" s="35">
        <v>39047081.270000003</v>
      </c>
      <c r="F13" s="87">
        <v>22012932.050000001</v>
      </c>
      <c r="G13" s="124">
        <f t="shared" si="0"/>
        <v>56.375358500643188</v>
      </c>
      <c r="H13" s="153"/>
      <c r="I13" s="122"/>
    </row>
    <row r="14" spans="1:9" s="10" customFormat="1" ht="20.25">
      <c r="A14" s="131">
        <v>3</v>
      </c>
      <c r="B14" s="30"/>
      <c r="C14" s="8" t="s">
        <v>5</v>
      </c>
      <c r="D14" s="51">
        <f>D15+D16+D17+D18+D19</f>
        <v>66063200</v>
      </c>
      <c r="E14" s="51">
        <f>E15+E16+E17+E18+E19</f>
        <v>73926000</v>
      </c>
      <c r="F14" s="51">
        <f>F15+F16+F17+F18+F19</f>
        <v>52811824.589999996</v>
      </c>
      <c r="G14" s="125">
        <f t="shared" si="0"/>
        <v>71.438769296323343</v>
      </c>
      <c r="H14" s="154" t="s">
        <v>62</v>
      </c>
      <c r="I14" s="122"/>
    </row>
    <row r="15" spans="1:9" s="10" customFormat="1" ht="18.75" customHeight="1">
      <c r="A15" s="132"/>
      <c r="B15" s="151" t="s">
        <v>12</v>
      </c>
      <c r="C15" s="11" t="s">
        <v>54</v>
      </c>
      <c r="D15" s="35">
        <v>53774100</v>
      </c>
      <c r="E15" s="35">
        <f>43624000+12758300</f>
        <v>56382300</v>
      </c>
      <c r="F15" s="87">
        <v>42285808.619999997</v>
      </c>
      <c r="G15" s="124">
        <f t="shared" si="0"/>
        <v>74.998374702699238</v>
      </c>
      <c r="H15" s="155"/>
      <c r="I15" s="123"/>
    </row>
    <row r="16" spans="1:9" s="10" customFormat="1" ht="25.5" customHeight="1">
      <c r="A16" s="132"/>
      <c r="B16" s="152"/>
      <c r="C16" s="11" t="s">
        <v>37</v>
      </c>
      <c r="D16" s="35">
        <v>4745000</v>
      </c>
      <c r="E16" s="35">
        <f>2935000+1630000+180000</f>
        <v>4745000</v>
      </c>
      <c r="F16" s="87">
        <v>2323500</v>
      </c>
      <c r="G16" s="124">
        <f t="shared" si="0"/>
        <v>48.967334035827186</v>
      </c>
      <c r="H16" s="155"/>
      <c r="I16" s="122"/>
    </row>
    <row r="17" spans="1:9" s="10" customFormat="1" ht="22.5" customHeight="1">
      <c r="A17" s="132"/>
      <c r="B17" s="152"/>
      <c r="C17" s="11" t="s">
        <v>49</v>
      </c>
      <c r="D17" s="35">
        <v>7044100</v>
      </c>
      <c r="E17" s="35">
        <v>12798700</v>
      </c>
      <c r="F17" s="87">
        <f>10526015.97-2323500</f>
        <v>8202515.9700000007</v>
      </c>
      <c r="G17" s="124">
        <f t="shared" si="0"/>
        <v>64.08866502066617</v>
      </c>
      <c r="H17" s="155"/>
      <c r="I17" s="122"/>
    </row>
    <row r="18" spans="1:9" s="10" customFormat="1" ht="61.5" customHeight="1">
      <c r="A18" s="132"/>
      <c r="B18" s="152"/>
      <c r="C18" s="37" t="s">
        <v>15</v>
      </c>
      <c r="D18" s="35">
        <v>500000</v>
      </c>
      <c r="E18" s="35">
        <v>0</v>
      </c>
      <c r="F18" s="87">
        <v>0</v>
      </c>
      <c r="G18" s="124">
        <v>0</v>
      </c>
      <c r="H18" s="155"/>
      <c r="I18" s="122"/>
    </row>
    <row r="19" spans="1:9" s="10" customFormat="1" ht="37.5" hidden="1" customHeight="1">
      <c r="A19" s="133"/>
      <c r="B19" s="153"/>
      <c r="C19" s="7" t="s">
        <v>16</v>
      </c>
      <c r="D19" s="35">
        <v>0</v>
      </c>
      <c r="E19" s="35">
        <v>0</v>
      </c>
      <c r="F19" s="35">
        <v>0</v>
      </c>
      <c r="G19" s="59" t="e">
        <f t="shared" si="0"/>
        <v>#DIV/0!</v>
      </c>
      <c r="H19" s="156"/>
      <c r="I19" s="122"/>
    </row>
    <row r="20" spans="1:9" s="17" customFormat="1" ht="36" customHeight="1">
      <c r="A20" s="30">
        <v>4</v>
      </c>
      <c r="B20" s="203" t="s">
        <v>45</v>
      </c>
      <c r="C20" s="204"/>
      <c r="D20" s="51">
        <f>D22+D23+D24+D25+D26+D27+D42+D53+D68</f>
        <v>1882869300</v>
      </c>
      <c r="E20" s="51">
        <f>E22+E23+E24+E25+E26+E27+E42+E53+E68</f>
        <v>1951651917</v>
      </c>
      <c r="F20" s="51">
        <f>F22+F23+F24+F25+F26+F27+F42+F53+F68</f>
        <v>1281630502.1599998</v>
      </c>
      <c r="G20" s="125">
        <f t="shared" si="0"/>
        <v>65.669010492919767</v>
      </c>
      <c r="H20" s="49"/>
      <c r="I20" s="120"/>
    </row>
    <row r="21" spans="1:9" s="17" customFormat="1" ht="20.25">
      <c r="A21" s="33"/>
      <c r="B21" s="163" t="s">
        <v>12</v>
      </c>
      <c r="C21" s="164"/>
      <c r="D21" s="52"/>
      <c r="E21" s="52"/>
      <c r="F21" s="52"/>
      <c r="G21" s="59"/>
      <c r="H21" s="49"/>
      <c r="I21" s="120"/>
    </row>
    <row r="22" spans="1:9" s="17" customFormat="1" ht="87" customHeight="1">
      <c r="A22" s="33"/>
      <c r="B22" s="186" t="s">
        <v>63</v>
      </c>
      <c r="C22" s="187"/>
      <c r="D22" s="53">
        <v>0</v>
      </c>
      <c r="E22" s="53">
        <v>246500</v>
      </c>
      <c r="F22" s="53">
        <v>0</v>
      </c>
      <c r="G22" s="59">
        <f t="shared" si="0"/>
        <v>0</v>
      </c>
      <c r="H22" s="49" t="s">
        <v>64</v>
      </c>
      <c r="I22" s="22" t="s">
        <v>278</v>
      </c>
    </row>
    <row r="23" spans="1:9" s="17" customFormat="1" ht="89.25" customHeight="1">
      <c r="A23" s="33"/>
      <c r="B23" s="184" t="s">
        <v>87</v>
      </c>
      <c r="C23" s="185"/>
      <c r="D23" s="53">
        <v>78300</v>
      </c>
      <c r="E23" s="53">
        <v>78300</v>
      </c>
      <c r="F23" s="88">
        <v>43761.18</v>
      </c>
      <c r="G23" s="59">
        <f t="shared" si="0"/>
        <v>55.889118773946358</v>
      </c>
      <c r="H23" s="49" t="s">
        <v>66</v>
      </c>
      <c r="I23" s="22" t="s">
        <v>279</v>
      </c>
    </row>
    <row r="24" spans="1:9" s="17" customFormat="1" ht="61.5" customHeight="1">
      <c r="A24" s="33"/>
      <c r="B24" s="184" t="s">
        <v>88</v>
      </c>
      <c r="C24" s="185"/>
      <c r="D24" s="53">
        <f>1831300+95000</f>
        <v>1926300</v>
      </c>
      <c r="E24" s="88">
        <f>1831300+95000+64000</f>
        <v>1990300</v>
      </c>
      <c r="F24" s="88">
        <v>1255261.22</v>
      </c>
      <c r="G24" s="59">
        <f t="shared" si="0"/>
        <v>63.068945385117829</v>
      </c>
      <c r="H24" s="49"/>
      <c r="I24" s="22" t="s">
        <v>280</v>
      </c>
    </row>
    <row r="25" spans="1:9" s="17" customFormat="1" ht="92.25" customHeight="1">
      <c r="A25" s="33"/>
      <c r="B25" s="205" t="s">
        <v>42</v>
      </c>
      <c r="C25" s="206"/>
      <c r="D25" s="43">
        <f>172038600+530300+86191200-66063200</f>
        <v>192696900</v>
      </c>
      <c r="E25" s="43">
        <f>172038600+15715017</f>
        <v>187753617</v>
      </c>
      <c r="F25" s="88">
        <f>9069385.5+173465.2+92980305.25</f>
        <v>102223155.95</v>
      </c>
      <c r="G25" s="59">
        <f t="shared" si="0"/>
        <v>54.445372389283989</v>
      </c>
      <c r="H25" s="95" t="s">
        <v>256</v>
      </c>
      <c r="I25" s="70" t="s">
        <v>281</v>
      </c>
    </row>
    <row r="26" spans="1:9" s="17" customFormat="1" ht="99" customHeight="1">
      <c r="A26" s="33"/>
      <c r="B26" s="161" t="s">
        <v>89</v>
      </c>
      <c r="C26" s="162"/>
      <c r="D26" s="43">
        <v>3284700</v>
      </c>
      <c r="E26" s="43">
        <v>3284700</v>
      </c>
      <c r="F26" s="88">
        <v>1111593</v>
      </c>
      <c r="G26" s="59">
        <f t="shared" si="0"/>
        <v>33.841538040003655</v>
      </c>
      <c r="H26" s="11" t="s">
        <v>250</v>
      </c>
      <c r="I26" s="122"/>
    </row>
    <row r="27" spans="1:9" s="10" customFormat="1" ht="84" customHeight="1">
      <c r="A27" s="38"/>
      <c r="B27" s="165" t="s">
        <v>38</v>
      </c>
      <c r="C27" s="166"/>
      <c r="D27" s="94">
        <f>D28+D29+D30+D31+D32+D33+D34+D35+D36+D37+D39+D38+D40+D41</f>
        <v>827584100</v>
      </c>
      <c r="E27" s="94">
        <f>E28+E29+E30+E31+E32+E33+E34+E35+E36+E37+E39+E38+E40+E41</f>
        <v>827633420</v>
      </c>
      <c r="F27" s="94">
        <f>F28+F29+F30+F31+F32+F33+F34+F35+F36+F37+F39+F38+F40+F41</f>
        <v>483345988.50999999</v>
      </c>
      <c r="G27" s="59">
        <f t="shared" si="0"/>
        <v>58.400975217989625</v>
      </c>
      <c r="H27" s="13"/>
      <c r="I27" s="122"/>
    </row>
    <row r="28" spans="1:9" s="10" customFormat="1" ht="44.25" customHeight="1">
      <c r="A28" s="46"/>
      <c r="B28" s="131" t="s">
        <v>135</v>
      </c>
      <c r="C28" s="11" t="s">
        <v>128</v>
      </c>
      <c r="D28" s="87">
        <v>96472200</v>
      </c>
      <c r="E28" s="87">
        <v>96472200</v>
      </c>
      <c r="F28" s="87">
        <v>72240219.579999998</v>
      </c>
      <c r="G28" s="59">
        <f t="shared" si="0"/>
        <v>74.881903366980325</v>
      </c>
      <c r="H28" s="13"/>
      <c r="I28" s="122"/>
    </row>
    <row r="29" spans="1:9" s="10" customFormat="1" ht="122.25" customHeight="1">
      <c r="A29" s="47"/>
      <c r="B29" s="132"/>
      <c r="C29" s="21" t="s">
        <v>31</v>
      </c>
      <c r="D29" s="87">
        <v>154400</v>
      </c>
      <c r="E29" s="35">
        <v>154400</v>
      </c>
      <c r="F29" s="87">
        <v>52673.31</v>
      </c>
      <c r="G29" s="59">
        <f t="shared" si="0"/>
        <v>34.114838082901557</v>
      </c>
      <c r="H29" s="11" t="s">
        <v>251</v>
      </c>
      <c r="I29" s="122" t="s">
        <v>282</v>
      </c>
    </row>
    <row r="30" spans="1:9" s="10" customFormat="1" ht="63" customHeight="1">
      <c r="A30" s="47"/>
      <c r="B30" s="132"/>
      <c r="C30" s="22" t="s">
        <v>11</v>
      </c>
      <c r="D30" s="87">
        <v>1943000</v>
      </c>
      <c r="E30" s="35">
        <v>1670600</v>
      </c>
      <c r="F30" s="87">
        <v>826337.28000000003</v>
      </c>
      <c r="G30" s="59">
        <f t="shared" si="0"/>
        <v>49.463502933077933</v>
      </c>
      <c r="H30" s="13"/>
      <c r="I30" s="122" t="s">
        <v>283</v>
      </c>
    </row>
    <row r="31" spans="1:9" s="10" customFormat="1" ht="105.75" customHeight="1">
      <c r="A31" s="47"/>
      <c r="B31" s="132"/>
      <c r="C31" s="21" t="s">
        <v>21</v>
      </c>
      <c r="D31" s="87">
        <f>2444800+2112900</f>
        <v>4557700</v>
      </c>
      <c r="E31" s="87">
        <f>2444800+2112900</f>
        <v>4557700</v>
      </c>
      <c r="F31" s="87">
        <v>4083271.7</v>
      </c>
      <c r="G31" s="59">
        <f t="shared" si="0"/>
        <v>89.590620268995337</v>
      </c>
      <c r="H31" s="11" t="s">
        <v>252</v>
      </c>
      <c r="I31" s="122"/>
    </row>
    <row r="32" spans="1:9" s="10" customFormat="1" ht="48.75" customHeight="1">
      <c r="A32" s="47"/>
      <c r="B32" s="132"/>
      <c r="C32" s="15" t="s">
        <v>28</v>
      </c>
      <c r="D32" s="87">
        <v>12809200</v>
      </c>
      <c r="E32" s="87">
        <v>12809200</v>
      </c>
      <c r="F32" s="87">
        <v>8475857.2899999991</v>
      </c>
      <c r="G32" s="59">
        <f t="shared" si="0"/>
        <v>66.170075336476899</v>
      </c>
      <c r="H32" s="11" t="s">
        <v>249</v>
      </c>
      <c r="I32" s="122"/>
    </row>
    <row r="33" spans="1:9" s="10" customFormat="1" ht="51" customHeight="1">
      <c r="A33" s="47"/>
      <c r="B33" s="132"/>
      <c r="C33" s="23" t="s">
        <v>30</v>
      </c>
      <c r="D33" s="86">
        <v>13317500</v>
      </c>
      <c r="E33" s="86">
        <v>13317500</v>
      </c>
      <c r="F33" s="86">
        <v>7256502.3399999999</v>
      </c>
      <c r="G33" s="59">
        <f t="shared" si="0"/>
        <v>54.488472611225824</v>
      </c>
      <c r="H33" s="11" t="s">
        <v>249</v>
      </c>
      <c r="I33" s="200" t="s">
        <v>284</v>
      </c>
    </row>
    <row r="34" spans="1:9" s="10" customFormat="1" ht="60.75" customHeight="1">
      <c r="A34" s="47"/>
      <c r="B34" s="132"/>
      <c r="C34" s="23" t="s">
        <v>129</v>
      </c>
      <c r="D34" s="86">
        <v>654084500</v>
      </c>
      <c r="E34" s="86">
        <v>654084500</v>
      </c>
      <c r="F34" s="86">
        <v>348119261.32999998</v>
      </c>
      <c r="G34" s="59">
        <f t="shared" si="0"/>
        <v>53.222368261287336</v>
      </c>
      <c r="H34" s="11" t="s">
        <v>249</v>
      </c>
      <c r="I34" s="200"/>
    </row>
    <row r="35" spans="1:9" s="10" customFormat="1" ht="105.75" customHeight="1">
      <c r="A35" s="47"/>
      <c r="B35" s="132"/>
      <c r="C35" s="23" t="s">
        <v>130</v>
      </c>
      <c r="D35" s="86">
        <v>390000</v>
      </c>
      <c r="E35" s="86">
        <v>371920</v>
      </c>
      <c r="F35" s="86">
        <v>0</v>
      </c>
      <c r="G35" s="59">
        <f t="shared" si="0"/>
        <v>0</v>
      </c>
      <c r="H35" s="11"/>
      <c r="I35" s="122"/>
    </row>
    <row r="36" spans="1:9" s="10" customFormat="1" ht="75" hidden="1" customHeight="1">
      <c r="A36" s="47"/>
      <c r="B36" s="132"/>
      <c r="C36" s="23" t="s">
        <v>131</v>
      </c>
      <c r="D36" s="86">
        <v>0</v>
      </c>
      <c r="E36" s="36">
        <v>0</v>
      </c>
      <c r="F36" s="86">
        <v>0</v>
      </c>
      <c r="G36" s="59" t="e">
        <f t="shared" si="0"/>
        <v>#DIV/0!</v>
      </c>
      <c r="H36" s="11" t="s">
        <v>139</v>
      </c>
      <c r="I36" s="122"/>
    </row>
    <row r="37" spans="1:9" s="10" customFormat="1" ht="93.75" hidden="1" customHeight="1">
      <c r="A37" s="47"/>
      <c r="B37" s="132"/>
      <c r="C37" s="23" t="s">
        <v>134</v>
      </c>
      <c r="D37" s="86">
        <v>0</v>
      </c>
      <c r="E37" s="36">
        <v>0</v>
      </c>
      <c r="F37" s="86">
        <v>0</v>
      </c>
      <c r="G37" s="59" t="e">
        <f t="shared" si="0"/>
        <v>#DIV/0!</v>
      </c>
      <c r="H37" s="11"/>
      <c r="I37" s="122"/>
    </row>
    <row r="38" spans="1:9" s="10" customFormat="1" ht="105" customHeight="1">
      <c r="A38" s="47"/>
      <c r="B38" s="132"/>
      <c r="C38" s="23" t="s">
        <v>143</v>
      </c>
      <c r="D38" s="86">
        <v>200000</v>
      </c>
      <c r="E38" s="36">
        <v>200000</v>
      </c>
      <c r="F38" s="86">
        <v>140832</v>
      </c>
      <c r="G38" s="59">
        <f t="shared" si="0"/>
        <v>70.415999999999997</v>
      </c>
      <c r="H38" s="11"/>
      <c r="I38" s="122"/>
    </row>
    <row r="39" spans="1:9" s="10" customFormat="1" ht="56.25">
      <c r="A39" s="48"/>
      <c r="B39" s="133"/>
      <c r="C39" s="23" t="s">
        <v>29</v>
      </c>
      <c r="D39" s="86">
        <v>43655600</v>
      </c>
      <c r="E39" s="36">
        <v>43995400</v>
      </c>
      <c r="F39" s="86">
        <v>42151033.68</v>
      </c>
      <c r="G39" s="59">
        <f t="shared" si="0"/>
        <v>95.807820090282164</v>
      </c>
      <c r="H39" s="11" t="s">
        <v>249</v>
      </c>
      <c r="I39" s="122"/>
    </row>
    <row r="40" spans="1:9" s="10" customFormat="1" ht="93.75" hidden="1">
      <c r="A40" s="47"/>
      <c r="B40" s="92"/>
      <c r="C40" s="79" t="s">
        <v>195</v>
      </c>
      <c r="D40" s="36">
        <v>0</v>
      </c>
      <c r="E40" s="36">
        <v>0</v>
      </c>
      <c r="F40" s="72">
        <v>0</v>
      </c>
      <c r="G40" s="59" t="e">
        <f t="shared" si="0"/>
        <v>#DIV/0!</v>
      </c>
      <c r="H40" s="11"/>
      <c r="I40" s="122"/>
    </row>
    <row r="41" spans="1:9" s="10" customFormat="1" ht="112.5" hidden="1">
      <c r="A41" s="47"/>
      <c r="B41" s="92"/>
      <c r="C41" s="79" t="s">
        <v>196</v>
      </c>
      <c r="D41" s="36">
        <v>0</v>
      </c>
      <c r="E41" s="36">
        <v>0</v>
      </c>
      <c r="F41" s="72">
        <v>0</v>
      </c>
      <c r="G41" s="59" t="e">
        <f t="shared" si="0"/>
        <v>#DIV/0!</v>
      </c>
      <c r="H41" s="11"/>
      <c r="I41" s="122"/>
    </row>
    <row r="42" spans="1:9" s="10" customFormat="1" ht="62.25" customHeight="1">
      <c r="A42" s="195"/>
      <c r="B42" s="161" t="s">
        <v>97</v>
      </c>
      <c r="C42" s="162"/>
      <c r="D42" s="94">
        <f>D43+D44+D45+D46+D47+D48+D49+D50+D51+D52</f>
        <v>1186500</v>
      </c>
      <c r="E42" s="94">
        <f>E43+E44+E45+E46+E47+E48+E49+E50+E51+E52</f>
        <v>2685380</v>
      </c>
      <c r="F42" s="94">
        <f>F43+F44+F45+F46+F47+F48+F49+F50+F51+F52</f>
        <v>1405666.9100000001</v>
      </c>
      <c r="G42" s="59">
        <f t="shared" si="0"/>
        <v>52.345176846479838</v>
      </c>
      <c r="H42" s="56"/>
      <c r="I42" s="200" t="s">
        <v>285</v>
      </c>
    </row>
    <row r="43" spans="1:9" s="10" customFormat="1" ht="268.5" customHeight="1">
      <c r="A43" s="196"/>
      <c r="B43" s="143" t="s">
        <v>12</v>
      </c>
      <c r="C43" s="63" t="s">
        <v>146</v>
      </c>
      <c r="D43" s="53">
        <v>681800</v>
      </c>
      <c r="E43" s="43">
        <v>681800</v>
      </c>
      <c r="F43" s="53">
        <v>63895.03</v>
      </c>
      <c r="G43" s="59">
        <f t="shared" si="0"/>
        <v>9.3715209738926379</v>
      </c>
      <c r="H43" s="56" t="s">
        <v>253</v>
      </c>
      <c r="I43" s="200"/>
    </row>
    <row r="44" spans="1:9" s="10" customFormat="1" ht="273.75" customHeight="1">
      <c r="A44" s="196"/>
      <c r="B44" s="167"/>
      <c r="C44" s="63" t="s">
        <v>148</v>
      </c>
      <c r="D44" s="53">
        <v>227300</v>
      </c>
      <c r="E44" s="43">
        <v>227300</v>
      </c>
      <c r="F44" s="53">
        <v>47756.91</v>
      </c>
      <c r="G44" s="59">
        <f t="shared" si="0"/>
        <v>21.010519137703476</v>
      </c>
      <c r="H44" s="56" t="s">
        <v>254</v>
      </c>
      <c r="I44" s="200"/>
    </row>
    <row r="45" spans="1:9" s="10" customFormat="1" ht="75" hidden="1" customHeight="1">
      <c r="A45" s="196"/>
      <c r="B45" s="167"/>
      <c r="C45" s="11" t="s">
        <v>151</v>
      </c>
      <c r="D45" s="53">
        <v>0</v>
      </c>
      <c r="E45" s="43">
        <v>0</v>
      </c>
      <c r="F45" s="53"/>
      <c r="G45" s="59" t="e">
        <f t="shared" si="0"/>
        <v>#DIV/0!</v>
      </c>
      <c r="H45" s="56"/>
      <c r="I45" s="122"/>
    </row>
    <row r="46" spans="1:9" s="10" customFormat="1" ht="131.25" hidden="1">
      <c r="A46" s="196"/>
      <c r="B46" s="167"/>
      <c r="C46" s="91" t="s">
        <v>153</v>
      </c>
      <c r="D46" s="53">
        <v>0</v>
      </c>
      <c r="E46" s="43">
        <v>0</v>
      </c>
      <c r="F46" s="53"/>
      <c r="G46" s="59" t="e">
        <f t="shared" si="0"/>
        <v>#DIV/0!</v>
      </c>
      <c r="H46" s="56"/>
      <c r="I46" s="122"/>
    </row>
    <row r="47" spans="1:9" s="10" customFormat="1" ht="168.75" hidden="1">
      <c r="A47" s="196"/>
      <c r="B47" s="167"/>
      <c r="C47" s="91" t="s">
        <v>155</v>
      </c>
      <c r="D47" s="53">
        <v>0</v>
      </c>
      <c r="E47" s="43">
        <v>0</v>
      </c>
      <c r="F47" s="53"/>
      <c r="G47" s="59" t="e">
        <f t="shared" si="0"/>
        <v>#DIV/0!</v>
      </c>
      <c r="H47" s="56"/>
      <c r="I47" s="122"/>
    </row>
    <row r="48" spans="1:9" s="10" customFormat="1" ht="56.25">
      <c r="A48" s="196"/>
      <c r="B48" s="167"/>
      <c r="C48" s="91" t="s">
        <v>157</v>
      </c>
      <c r="D48" s="53">
        <v>49500</v>
      </c>
      <c r="E48" s="43">
        <v>49500</v>
      </c>
      <c r="F48" s="53">
        <v>0</v>
      </c>
      <c r="G48" s="59">
        <f t="shared" si="0"/>
        <v>0</v>
      </c>
      <c r="H48" s="56" t="s">
        <v>240</v>
      </c>
      <c r="I48" s="122"/>
    </row>
    <row r="49" spans="1:9" s="10" customFormat="1" ht="81" customHeight="1">
      <c r="A49" s="196"/>
      <c r="B49" s="167"/>
      <c r="C49" s="91" t="s">
        <v>159</v>
      </c>
      <c r="D49" s="53">
        <v>27900</v>
      </c>
      <c r="E49" s="43">
        <v>27900</v>
      </c>
      <c r="F49" s="53">
        <v>0</v>
      </c>
      <c r="G49" s="59">
        <f t="shared" si="0"/>
        <v>0</v>
      </c>
      <c r="H49" s="56" t="s">
        <v>241</v>
      </c>
      <c r="I49" s="122"/>
    </row>
    <row r="50" spans="1:9" s="10" customFormat="1" ht="148.5" customHeight="1">
      <c r="A50" s="196"/>
      <c r="B50" s="167"/>
      <c r="C50" s="11" t="s">
        <v>150</v>
      </c>
      <c r="D50" s="53">
        <v>200000</v>
      </c>
      <c r="E50" s="43">
        <v>198880</v>
      </c>
      <c r="F50" s="53">
        <v>168914.97</v>
      </c>
      <c r="G50" s="59">
        <f t="shared" si="0"/>
        <v>84.933110418342721</v>
      </c>
      <c r="H50" s="56"/>
      <c r="I50" s="122"/>
    </row>
    <row r="51" spans="1:9" s="10" customFormat="1" ht="20.25" hidden="1">
      <c r="A51" s="196"/>
      <c r="B51" s="167"/>
      <c r="C51" s="62" t="s">
        <v>144</v>
      </c>
      <c r="D51" s="53">
        <v>0</v>
      </c>
      <c r="E51" s="43">
        <v>0</v>
      </c>
      <c r="F51" s="53">
        <v>0</v>
      </c>
      <c r="G51" s="59" t="e">
        <f t="shared" si="0"/>
        <v>#DIV/0!</v>
      </c>
      <c r="H51" s="56"/>
      <c r="I51" s="122"/>
    </row>
    <row r="52" spans="1:9" s="10" customFormat="1" ht="37.5">
      <c r="A52" s="196"/>
      <c r="B52" s="167"/>
      <c r="C52" s="11" t="s">
        <v>145</v>
      </c>
      <c r="D52" s="53">
        <v>0</v>
      </c>
      <c r="E52" s="43">
        <v>1500000</v>
      </c>
      <c r="F52" s="53">
        <v>1125100</v>
      </c>
      <c r="G52" s="59">
        <f t="shared" si="0"/>
        <v>75.006666666666661</v>
      </c>
      <c r="H52" s="56"/>
      <c r="I52" s="122"/>
    </row>
    <row r="53" spans="1:9" s="10" customFormat="1" ht="96" customHeight="1">
      <c r="A53" s="131"/>
      <c r="B53" s="165" t="s">
        <v>98</v>
      </c>
      <c r="C53" s="166"/>
      <c r="D53" s="93">
        <f>D54+D55+D56+D57+D58+D59+D60+D61+D62+D63+D64+D65+D66+D67</f>
        <v>29281800</v>
      </c>
      <c r="E53" s="93">
        <f>E54+E55+E56+E57+E58+E59+E60+E61+E62+E63+E64+E65+E66+E67</f>
        <v>35081000</v>
      </c>
      <c r="F53" s="93">
        <f>F54+F55+F56+F57+F58+F59+F60+F61+F62+F63+F64+F65+F66+F67</f>
        <v>21028104.77</v>
      </c>
      <c r="G53" s="59">
        <f t="shared" si="0"/>
        <v>59.941577406573352</v>
      </c>
      <c r="H53" s="70"/>
      <c r="I53" s="122"/>
    </row>
    <row r="54" spans="1:9" s="10" customFormat="1" ht="131.25" hidden="1">
      <c r="A54" s="132"/>
      <c r="B54" s="143" t="s">
        <v>12</v>
      </c>
      <c r="C54" s="67" t="s">
        <v>161</v>
      </c>
      <c r="D54" s="65">
        <v>0</v>
      </c>
      <c r="E54" s="65">
        <v>0</v>
      </c>
      <c r="F54" s="73">
        <v>0</v>
      </c>
      <c r="G54" s="59" t="e">
        <f t="shared" si="0"/>
        <v>#DIV/0!</v>
      </c>
      <c r="H54" s="91"/>
      <c r="I54" s="122"/>
    </row>
    <row r="55" spans="1:9" s="10" customFormat="1" ht="56.25" hidden="1">
      <c r="A55" s="132"/>
      <c r="B55" s="167"/>
      <c r="C55" s="67" t="s">
        <v>162</v>
      </c>
      <c r="D55" s="65">
        <v>0</v>
      </c>
      <c r="E55" s="65">
        <v>0</v>
      </c>
      <c r="F55" s="73">
        <v>0</v>
      </c>
      <c r="G55" s="59" t="e">
        <f t="shared" si="0"/>
        <v>#DIV/0!</v>
      </c>
      <c r="H55" s="91"/>
      <c r="I55" s="122"/>
    </row>
    <row r="56" spans="1:9" s="10" customFormat="1" ht="62.25" customHeight="1">
      <c r="A56" s="132"/>
      <c r="B56" s="167"/>
      <c r="C56" s="67" t="s">
        <v>163</v>
      </c>
      <c r="D56" s="65">
        <v>0</v>
      </c>
      <c r="E56" s="65">
        <v>2000000</v>
      </c>
      <c r="F56" s="90">
        <v>1985880</v>
      </c>
      <c r="G56" s="59">
        <f t="shared" si="0"/>
        <v>99.294000000000011</v>
      </c>
      <c r="H56" s="91"/>
      <c r="I56" s="122"/>
    </row>
    <row r="57" spans="1:9" s="10" customFormat="1" ht="61.5" customHeight="1">
      <c r="A57" s="132"/>
      <c r="B57" s="167"/>
      <c r="C57" s="67" t="s">
        <v>165</v>
      </c>
      <c r="D57" s="65">
        <v>0</v>
      </c>
      <c r="E57" s="65">
        <v>1810500</v>
      </c>
      <c r="F57" s="73">
        <v>1810500</v>
      </c>
      <c r="G57" s="59">
        <f t="shared" si="0"/>
        <v>100</v>
      </c>
      <c r="H57" s="66"/>
      <c r="I57" s="122"/>
    </row>
    <row r="58" spans="1:9" s="10" customFormat="1" ht="48.75" customHeight="1">
      <c r="A58" s="132"/>
      <c r="B58" s="167"/>
      <c r="C58" s="67" t="s">
        <v>164</v>
      </c>
      <c r="D58" s="65">
        <v>0</v>
      </c>
      <c r="E58" s="65">
        <v>1644600</v>
      </c>
      <c r="F58" s="73">
        <v>1644600</v>
      </c>
      <c r="G58" s="59">
        <f t="shared" si="0"/>
        <v>100</v>
      </c>
      <c r="H58" s="66"/>
      <c r="I58" s="199" t="s">
        <v>286</v>
      </c>
    </row>
    <row r="59" spans="1:9" s="10" customFormat="1" ht="93.75" customHeight="1">
      <c r="A59" s="132"/>
      <c r="B59" s="167"/>
      <c r="C59" s="67" t="s">
        <v>166</v>
      </c>
      <c r="D59" s="65">
        <v>2300000</v>
      </c>
      <c r="E59" s="65">
        <v>2100000</v>
      </c>
      <c r="F59" s="73">
        <v>1200000</v>
      </c>
      <c r="G59" s="59">
        <f t="shared" si="0"/>
        <v>57.142857142857139</v>
      </c>
      <c r="H59" s="91"/>
      <c r="I59" s="199"/>
    </row>
    <row r="60" spans="1:9" s="10" customFormat="1" ht="106.5" customHeight="1">
      <c r="A60" s="132"/>
      <c r="B60" s="167"/>
      <c r="C60" s="67" t="s">
        <v>167</v>
      </c>
      <c r="D60" s="65">
        <v>0</v>
      </c>
      <c r="E60" s="65">
        <v>200000</v>
      </c>
      <c r="F60" s="73">
        <v>92500</v>
      </c>
      <c r="G60" s="59">
        <f t="shared" si="0"/>
        <v>46.25</v>
      </c>
      <c r="H60" s="91"/>
      <c r="I60" s="199"/>
    </row>
    <row r="61" spans="1:9" s="10" customFormat="1" ht="56.25">
      <c r="A61" s="132"/>
      <c r="B61" s="167"/>
      <c r="C61" s="67" t="s">
        <v>168</v>
      </c>
      <c r="D61" s="65">
        <v>0</v>
      </c>
      <c r="E61" s="65">
        <f>234000+110100</f>
        <v>344100</v>
      </c>
      <c r="F61" s="73">
        <f>23400+210600+11000+99100</f>
        <v>344100</v>
      </c>
      <c r="G61" s="59">
        <f t="shared" si="0"/>
        <v>100</v>
      </c>
      <c r="H61" s="11" t="s">
        <v>220</v>
      </c>
      <c r="I61" s="122"/>
    </row>
    <row r="62" spans="1:9" s="10" customFormat="1" ht="56.25" hidden="1">
      <c r="A62" s="132"/>
      <c r="B62" s="167"/>
      <c r="C62" s="67" t="s">
        <v>170</v>
      </c>
      <c r="D62" s="65">
        <v>0</v>
      </c>
      <c r="E62" s="65">
        <v>0</v>
      </c>
      <c r="F62" s="73">
        <v>0</v>
      </c>
      <c r="G62" s="59" t="e">
        <f t="shared" si="0"/>
        <v>#DIV/0!</v>
      </c>
      <c r="H62" s="91"/>
      <c r="I62" s="122"/>
    </row>
    <row r="63" spans="1:9" s="10" customFormat="1" ht="56.25" hidden="1">
      <c r="A63" s="132"/>
      <c r="B63" s="167"/>
      <c r="C63" s="67" t="s">
        <v>171</v>
      </c>
      <c r="D63" s="65">
        <v>0</v>
      </c>
      <c r="E63" s="65">
        <v>0</v>
      </c>
      <c r="F63" s="73">
        <v>0</v>
      </c>
      <c r="G63" s="59" t="e">
        <f t="shared" si="0"/>
        <v>#DIV/0!</v>
      </c>
      <c r="H63" s="91"/>
      <c r="I63" s="122"/>
    </row>
    <row r="64" spans="1:9" s="10" customFormat="1" ht="37.5" hidden="1">
      <c r="A64" s="132"/>
      <c r="B64" s="167"/>
      <c r="C64" s="67" t="s">
        <v>172</v>
      </c>
      <c r="D64" s="65">
        <v>0</v>
      </c>
      <c r="E64" s="65">
        <v>0</v>
      </c>
      <c r="F64" s="73">
        <v>0</v>
      </c>
      <c r="G64" s="59" t="e">
        <f t="shared" si="0"/>
        <v>#DIV/0!</v>
      </c>
      <c r="H64" s="91"/>
      <c r="I64" s="122"/>
    </row>
    <row r="65" spans="1:9" s="10" customFormat="1" ht="56.25" hidden="1">
      <c r="A65" s="132"/>
      <c r="B65" s="167"/>
      <c r="C65" s="67" t="s">
        <v>173</v>
      </c>
      <c r="D65" s="65">
        <v>0</v>
      </c>
      <c r="E65" s="65">
        <v>0</v>
      </c>
      <c r="F65" s="73">
        <v>0</v>
      </c>
      <c r="G65" s="59" t="e">
        <f t="shared" si="0"/>
        <v>#DIV/0!</v>
      </c>
      <c r="H65" s="91"/>
      <c r="I65" s="122"/>
    </row>
    <row r="66" spans="1:9" s="10" customFormat="1" ht="60" customHeight="1">
      <c r="A66" s="132"/>
      <c r="B66" s="167"/>
      <c r="C66" s="68" t="s">
        <v>55</v>
      </c>
      <c r="D66" s="65">
        <v>7000000</v>
      </c>
      <c r="E66" s="65">
        <v>7000000</v>
      </c>
      <c r="F66" s="90">
        <v>7000000</v>
      </c>
      <c r="G66" s="59">
        <f t="shared" si="0"/>
        <v>100</v>
      </c>
      <c r="H66" s="11"/>
      <c r="I66" s="122"/>
    </row>
    <row r="67" spans="1:9" s="10" customFormat="1" ht="37.5">
      <c r="A67" s="133"/>
      <c r="B67" s="144"/>
      <c r="C67" s="69" t="s">
        <v>23</v>
      </c>
      <c r="D67" s="43">
        <v>19981800</v>
      </c>
      <c r="E67" s="43">
        <v>19981800</v>
      </c>
      <c r="F67" s="53">
        <v>6950524.7699999996</v>
      </c>
      <c r="G67" s="59">
        <f t="shared" si="0"/>
        <v>34.784277542563729</v>
      </c>
      <c r="H67" s="11"/>
      <c r="I67" s="122" t="s">
        <v>287</v>
      </c>
    </row>
    <row r="68" spans="1:9" s="10" customFormat="1" ht="86.25" customHeight="1">
      <c r="A68" s="131"/>
      <c r="B68" s="161" t="s">
        <v>41</v>
      </c>
      <c r="C68" s="162"/>
      <c r="D68" s="94">
        <f>D69+D70+D71+D72+D73+D74+D75+D76+D77+D78+D79+D80+D81+D82+D83+D84+D85+D86</f>
        <v>826830700</v>
      </c>
      <c r="E68" s="94">
        <f>E69+E70+E71+E72+E73+E74+E75+E76+E77+E78+E79+E80+E81+E82+E83+E84+E85+E86</f>
        <v>892898700</v>
      </c>
      <c r="F68" s="94">
        <f>F69+F70+F71+F72+F73+F74+F75+F76+F77+F78+F79+F80+F81+F82+F83+F84+F85+F86</f>
        <v>671216970.62</v>
      </c>
      <c r="G68" s="59">
        <f t="shared" si="0"/>
        <v>75.172801866549918</v>
      </c>
      <c r="H68" s="11"/>
      <c r="I68" s="122"/>
    </row>
    <row r="69" spans="1:9" s="10" customFormat="1" ht="37.5">
      <c r="A69" s="132"/>
      <c r="B69" s="192" t="s">
        <v>135</v>
      </c>
      <c r="C69" s="11" t="s">
        <v>26</v>
      </c>
      <c r="D69" s="88">
        <v>132000000</v>
      </c>
      <c r="E69" s="88">
        <v>132000000</v>
      </c>
      <c r="F69" s="88">
        <v>109916974.15000001</v>
      </c>
      <c r="G69" s="59">
        <f t="shared" si="0"/>
        <v>83.270434962121215</v>
      </c>
      <c r="H69" s="13"/>
      <c r="I69" s="122"/>
    </row>
    <row r="70" spans="1:9" s="10" customFormat="1" ht="37.5">
      <c r="A70" s="132"/>
      <c r="B70" s="193"/>
      <c r="C70" s="11" t="s">
        <v>8</v>
      </c>
      <c r="D70" s="88">
        <v>30000</v>
      </c>
      <c r="E70" s="88">
        <v>0</v>
      </c>
      <c r="F70" s="88">
        <v>0</v>
      </c>
      <c r="G70" s="59">
        <v>0</v>
      </c>
      <c r="H70" s="13"/>
      <c r="I70" s="122"/>
    </row>
    <row r="71" spans="1:9" s="10" customFormat="1" ht="37.5">
      <c r="A71" s="132"/>
      <c r="B71" s="193"/>
      <c r="C71" s="11" t="s">
        <v>9</v>
      </c>
      <c r="D71" s="88">
        <v>600000</v>
      </c>
      <c r="E71" s="88">
        <v>600000</v>
      </c>
      <c r="F71" s="88">
        <v>300000</v>
      </c>
      <c r="G71" s="59">
        <f t="shared" ref="G71:G92" si="1">F71/E71*100</f>
        <v>50</v>
      </c>
      <c r="H71" s="13"/>
      <c r="I71" s="122" t="s">
        <v>282</v>
      </c>
    </row>
    <row r="72" spans="1:9" s="10" customFormat="1" ht="87.75" customHeight="1">
      <c r="A72" s="132"/>
      <c r="B72" s="193"/>
      <c r="C72" s="23" t="s">
        <v>20</v>
      </c>
      <c r="D72" s="88">
        <f>289580700+153203200</f>
        <v>442783900</v>
      </c>
      <c r="E72" s="88">
        <f>289580700+153203200</f>
        <v>442783900</v>
      </c>
      <c r="F72" s="88">
        <v>345375032.85000002</v>
      </c>
      <c r="G72" s="59">
        <f t="shared" si="1"/>
        <v>78.000810971220957</v>
      </c>
      <c r="H72" s="95" t="s">
        <v>255</v>
      </c>
      <c r="I72" s="122"/>
    </row>
    <row r="73" spans="1:9" s="10" customFormat="1" ht="42.75" customHeight="1">
      <c r="A73" s="132"/>
      <c r="B73" s="193"/>
      <c r="C73" s="22" t="s">
        <v>10</v>
      </c>
      <c r="D73" s="88">
        <v>53300</v>
      </c>
      <c r="E73" s="88">
        <v>53300</v>
      </c>
      <c r="F73" s="88">
        <v>0</v>
      </c>
      <c r="G73" s="59">
        <f t="shared" si="1"/>
        <v>0</v>
      </c>
      <c r="H73" s="11" t="s">
        <v>243</v>
      </c>
      <c r="I73" s="122" t="s">
        <v>282</v>
      </c>
    </row>
    <row r="74" spans="1:9" s="10" customFormat="1" ht="56.25">
      <c r="A74" s="132"/>
      <c r="B74" s="193"/>
      <c r="C74" s="22" t="s">
        <v>56</v>
      </c>
      <c r="D74" s="88">
        <v>38313700</v>
      </c>
      <c r="E74" s="88">
        <v>38313700</v>
      </c>
      <c r="F74" s="88">
        <v>37023549</v>
      </c>
      <c r="G74" s="59">
        <f t="shared" si="1"/>
        <v>96.632664034013942</v>
      </c>
      <c r="H74" s="11"/>
      <c r="I74" s="122"/>
    </row>
    <row r="75" spans="1:9" s="10" customFormat="1" ht="93.75">
      <c r="A75" s="132"/>
      <c r="B75" s="193"/>
      <c r="C75" s="34" t="s">
        <v>34</v>
      </c>
      <c r="D75" s="89">
        <v>25300</v>
      </c>
      <c r="E75" s="89">
        <v>25300</v>
      </c>
      <c r="F75" s="89">
        <v>0</v>
      </c>
      <c r="G75" s="59">
        <f t="shared" si="1"/>
        <v>0</v>
      </c>
      <c r="H75" s="11" t="s">
        <v>249</v>
      </c>
      <c r="I75" s="122"/>
    </row>
    <row r="76" spans="1:9" s="10" customFormat="1" ht="112.5">
      <c r="A76" s="132"/>
      <c r="B76" s="193"/>
      <c r="C76" s="34" t="s">
        <v>35</v>
      </c>
      <c r="D76" s="89">
        <v>5012300</v>
      </c>
      <c r="E76" s="89">
        <v>5012300</v>
      </c>
      <c r="F76" s="89">
        <v>2104371.25</v>
      </c>
      <c r="G76" s="59">
        <f t="shared" si="1"/>
        <v>41.984144005745868</v>
      </c>
      <c r="H76" s="11" t="s">
        <v>249</v>
      </c>
      <c r="I76" s="122" t="s">
        <v>288</v>
      </c>
    </row>
    <row r="77" spans="1:9" s="10" customFormat="1" ht="75" hidden="1" customHeight="1">
      <c r="A77" s="132"/>
      <c r="B77" s="193"/>
      <c r="C77" s="34" t="s">
        <v>178</v>
      </c>
      <c r="D77" s="71">
        <v>0</v>
      </c>
      <c r="E77" s="89">
        <v>0</v>
      </c>
      <c r="F77" s="89">
        <v>0</v>
      </c>
      <c r="G77" s="59" t="e">
        <f t="shared" si="1"/>
        <v>#DIV/0!</v>
      </c>
      <c r="H77" s="11"/>
      <c r="I77" s="122"/>
    </row>
    <row r="78" spans="1:9" s="10" customFormat="1" ht="56.25" hidden="1" customHeight="1">
      <c r="A78" s="132"/>
      <c r="B78" s="193"/>
      <c r="C78" s="34" t="s">
        <v>179</v>
      </c>
      <c r="D78" s="71">
        <v>0</v>
      </c>
      <c r="E78" s="89">
        <v>0</v>
      </c>
      <c r="F78" s="89">
        <v>0</v>
      </c>
      <c r="G78" s="59" t="e">
        <f t="shared" si="1"/>
        <v>#DIV/0!</v>
      </c>
      <c r="H78" s="11"/>
      <c r="I78" s="122"/>
    </row>
    <row r="79" spans="1:9" s="10" customFormat="1" ht="56.25" hidden="1" customHeight="1">
      <c r="A79" s="132"/>
      <c r="B79" s="193"/>
      <c r="C79" s="34" t="s">
        <v>180</v>
      </c>
      <c r="D79" s="71">
        <v>0</v>
      </c>
      <c r="E79" s="89">
        <v>0</v>
      </c>
      <c r="F79" s="89">
        <v>0</v>
      </c>
      <c r="G79" s="59" t="e">
        <f t="shared" si="1"/>
        <v>#DIV/0!</v>
      </c>
      <c r="H79" s="11"/>
      <c r="I79" s="122"/>
    </row>
    <row r="80" spans="1:9" s="10" customFormat="1" ht="56.25">
      <c r="A80" s="132"/>
      <c r="B80" s="193"/>
      <c r="C80" s="34" t="s">
        <v>183</v>
      </c>
      <c r="D80" s="71">
        <v>0</v>
      </c>
      <c r="E80" s="89">
        <v>110000</v>
      </c>
      <c r="F80" s="89">
        <v>110000</v>
      </c>
      <c r="G80" s="59">
        <f t="shared" si="1"/>
        <v>100</v>
      </c>
      <c r="H80" s="11"/>
      <c r="I80" s="122"/>
    </row>
    <row r="81" spans="1:9" s="10" customFormat="1" ht="93.75" hidden="1">
      <c r="A81" s="132"/>
      <c r="B81" s="193"/>
      <c r="C81" s="34" t="s">
        <v>184</v>
      </c>
      <c r="D81" s="71">
        <v>0</v>
      </c>
      <c r="E81" s="89">
        <v>0</v>
      </c>
      <c r="F81" s="89">
        <v>0</v>
      </c>
      <c r="G81" s="59" t="e">
        <f t="shared" si="1"/>
        <v>#DIV/0!</v>
      </c>
      <c r="H81" s="11"/>
      <c r="I81" s="122"/>
    </row>
    <row r="82" spans="1:9" s="10" customFormat="1" ht="65.25" customHeight="1">
      <c r="A82" s="132"/>
      <c r="B82" s="193"/>
      <c r="C82" s="34" t="s">
        <v>258</v>
      </c>
      <c r="D82" s="71">
        <v>0</v>
      </c>
      <c r="E82" s="89">
        <f>20000+30000</f>
        <v>50000</v>
      </c>
      <c r="F82" s="89">
        <v>50000</v>
      </c>
      <c r="G82" s="59">
        <f t="shared" si="1"/>
        <v>100</v>
      </c>
      <c r="H82" s="11"/>
      <c r="I82" s="122"/>
    </row>
    <row r="83" spans="1:9" s="10" customFormat="1" ht="75" hidden="1" customHeight="1">
      <c r="A83" s="132"/>
      <c r="B83" s="193"/>
      <c r="C83" s="34" t="s">
        <v>186</v>
      </c>
      <c r="D83" s="71">
        <v>0</v>
      </c>
      <c r="E83" s="89">
        <v>0</v>
      </c>
      <c r="F83" s="89">
        <v>0</v>
      </c>
      <c r="G83" s="59" t="e">
        <f t="shared" si="1"/>
        <v>#DIV/0!</v>
      </c>
      <c r="H83" s="11"/>
      <c r="I83" s="122"/>
    </row>
    <row r="84" spans="1:9" s="10" customFormat="1" ht="131.25">
      <c r="A84" s="133"/>
      <c r="B84" s="193"/>
      <c r="C84" s="34" t="s">
        <v>36</v>
      </c>
      <c r="D84" s="89">
        <v>208012200</v>
      </c>
      <c r="E84" s="89">
        <v>208012200</v>
      </c>
      <c r="F84" s="89">
        <v>136327806.25999999</v>
      </c>
      <c r="G84" s="59">
        <f t="shared" si="1"/>
        <v>65.538370470578172</v>
      </c>
      <c r="H84" s="11" t="s">
        <v>249</v>
      </c>
      <c r="I84" s="11" t="s">
        <v>289</v>
      </c>
    </row>
    <row r="85" spans="1:9" s="10" customFormat="1" ht="112.5" hidden="1">
      <c r="A85" s="32"/>
      <c r="B85" s="193"/>
      <c r="C85" s="27" t="s">
        <v>188</v>
      </c>
      <c r="D85" s="43">
        <v>0</v>
      </c>
      <c r="E85" s="88">
        <v>0</v>
      </c>
      <c r="F85" s="88">
        <v>0</v>
      </c>
      <c r="G85" s="59" t="e">
        <f t="shared" si="1"/>
        <v>#DIV/0!</v>
      </c>
      <c r="H85" s="13"/>
      <c r="I85" s="11"/>
    </row>
    <row r="86" spans="1:9" s="10" customFormat="1" ht="56.25" customHeight="1">
      <c r="A86" s="32"/>
      <c r="B86" s="194"/>
      <c r="C86" s="27" t="s">
        <v>217</v>
      </c>
      <c r="D86" s="43">
        <v>0</v>
      </c>
      <c r="E86" s="88">
        <v>65938000</v>
      </c>
      <c r="F86" s="88">
        <v>40009237.109999999</v>
      </c>
      <c r="G86" s="59">
        <f t="shared" si="1"/>
        <v>60.677055885832146</v>
      </c>
      <c r="H86" s="11" t="s">
        <v>249</v>
      </c>
      <c r="I86" s="11" t="s">
        <v>290</v>
      </c>
    </row>
    <row r="87" spans="1:9" s="10" customFormat="1" ht="60.75" customHeight="1">
      <c r="A87" s="38">
        <v>5</v>
      </c>
      <c r="B87" s="208" t="s">
        <v>22</v>
      </c>
      <c r="C87" s="209"/>
      <c r="D87" s="51">
        <v>47483700</v>
      </c>
      <c r="E87" s="51">
        <v>47483700</v>
      </c>
      <c r="F87" s="51">
        <v>36460563.32</v>
      </c>
      <c r="G87" s="59">
        <f t="shared" si="1"/>
        <v>76.785430200258205</v>
      </c>
      <c r="H87" s="13"/>
      <c r="I87" s="122"/>
    </row>
    <row r="88" spans="1:9" s="10" customFormat="1" ht="116.25" customHeight="1">
      <c r="A88" s="39">
        <v>6</v>
      </c>
      <c r="B88" s="139" t="s">
        <v>257</v>
      </c>
      <c r="C88" s="139"/>
      <c r="D88" s="54">
        <v>2937700</v>
      </c>
      <c r="E88" s="54">
        <v>2937700</v>
      </c>
      <c r="F88" s="54">
        <v>2026822.9</v>
      </c>
      <c r="G88" s="59">
        <f t="shared" si="1"/>
        <v>68.993528951220341</v>
      </c>
      <c r="H88" s="13"/>
      <c r="I88" s="122"/>
    </row>
    <row r="89" spans="1:9" s="10" customFormat="1" ht="68.25" hidden="1" customHeight="1">
      <c r="A89" s="39">
        <v>7</v>
      </c>
      <c r="B89" s="140" t="s">
        <v>102</v>
      </c>
      <c r="C89" s="140"/>
      <c r="D89" s="54">
        <v>0</v>
      </c>
      <c r="E89" s="54">
        <v>0</v>
      </c>
      <c r="F89" s="54">
        <v>0</v>
      </c>
      <c r="G89" s="59" t="e">
        <f t="shared" si="1"/>
        <v>#DIV/0!</v>
      </c>
      <c r="H89" s="11"/>
      <c r="I89" s="122"/>
    </row>
    <row r="90" spans="1:9" s="10" customFormat="1" ht="45" customHeight="1">
      <c r="A90" s="39">
        <v>7</v>
      </c>
      <c r="B90" s="160" t="s">
        <v>127</v>
      </c>
      <c r="C90" s="160"/>
      <c r="D90" s="54">
        <v>0</v>
      </c>
      <c r="E90" s="54">
        <v>920000</v>
      </c>
      <c r="F90" s="54">
        <v>920000</v>
      </c>
      <c r="G90" s="59">
        <f t="shared" si="1"/>
        <v>100</v>
      </c>
      <c r="H90" s="11"/>
      <c r="I90" s="122"/>
    </row>
    <row r="91" spans="1:9" s="10" customFormat="1" ht="60" hidden="1" customHeight="1">
      <c r="A91" s="39">
        <v>9</v>
      </c>
      <c r="B91" s="197" t="s">
        <v>194</v>
      </c>
      <c r="C91" s="198"/>
      <c r="D91" s="54">
        <v>0</v>
      </c>
      <c r="E91" s="54">
        <v>0</v>
      </c>
      <c r="F91" s="54">
        <v>0</v>
      </c>
      <c r="G91" s="59" t="e">
        <f t="shared" si="1"/>
        <v>#DIV/0!</v>
      </c>
      <c r="H91" s="11"/>
      <c r="I91" s="122"/>
    </row>
    <row r="92" spans="1:9" s="10" customFormat="1" ht="50.25" customHeight="1">
      <c r="A92" s="39">
        <v>8</v>
      </c>
      <c r="B92" s="197" t="s">
        <v>221</v>
      </c>
      <c r="C92" s="198"/>
      <c r="D92" s="54">
        <v>0</v>
      </c>
      <c r="E92" s="54">
        <v>3700000</v>
      </c>
      <c r="F92" s="54">
        <v>1727076.49</v>
      </c>
      <c r="G92" s="59">
        <f t="shared" si="1"/>
        <v>46.677742972972972</v>
      </c>
      <c r="H92" s="11"/>
      <c r="I92" s="122" t="s">
        <v>282</v>
      </c>
    </row>
    <row r="93" spans="1:9" s="10" customFormat="1" ht="39" customHeight="1">
      <c r="A93" s="31"/>
      <c r="B93" s="147" t="s">
        <v>58</v>
      </c>
      <c r="C93" s="148"/>
      <c r="D93" s="59">
        <f>D4+D8+D14+D20+D87+D88+D89+D90+D91+D92</f>
        <v>3094867700</v>
      </c>
      <c r="E93" s="59">
        <f>E4+E8+E14+E20+E87+E88+E89+E90+E91+E92</f>
        <v>3198592786.27</v>
      </c>
      <c r="F93" s="59">
        <f>F4+F8+F14+F20+F87+F88+F89+F90+F91+F92</f>
        <v>2208039999.3800001</v>
      </c>
      <c r="G93" s="59">
        <f>F93/E93*100</f>
        <v>69.031606925959437</v>
      </c>
      <c r="H93" s="35"/>
      <c r="I93" s="122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4:7">
      <c r="D706" s="2"/>
      <c r="E706" s="2"/>
      <c r="F706" s="2"/>
      <c r="G706" s="2"/>
    </row>
  </sheetData>
  <mergeCells count="48">
    <mergeCell ref="A1:I1"/>
    <mergeCell ref="B93:C93"/>
    <mergeCell ref="B87:C87"/>
    <mergeCell ref="B88:C88"/>
    <mergeCell ref="B89:C89"/>
    <mergeCell ref="B90:C90"/>
    <mergeCell ref="B91:C91"/>
    <mergeCell ref="B92:C92"/>
    <mergeCell ref="A53:A67"/>
    <mergeCell ref="B53:C53"/>
    <mergeCell ref="B54:B67"/>
    <mergeCell ref="A68:A84"/>
    <mergeCell ref="B68:C68"/>
    <mergeCell ref="B69:B86"/>
    <mergeCell ref="B26:C26"/>
    <mergeCell ref="B27:C27"/>
    <mergeCell ref="B28:B39"/>
    <mergeCell ref="A42:A52"/>
    <mergeCell ref="B42:C42"/>
    <mergeCell ref="B43:B52"/>
    <mergeCell ref="B25:C25"/>
    <mergeCell ref="A8:A13"/>
    <mergeCell ref="B8:C8"/>
    <mergeCell ref="H8:H13"/>
    <mergeCell ref="B9:B13"/>
    <mergeCell ref="A14:A19"/>
    <mergeCell ref="H14:H19"/>
    <mergeCell ref="B15:B19"/>
    <mergeCell ref="B20:C20"/>
    <mergeCell ref="B21:C21"/>
    <mergeCell ref="B22:C22"/>
    <mergeCell ref="B23:C23"/>
    <mergeCell ref="B24:C24"/>
    <mergeCell ref="A4:A7"/>
    <mergeCell ref="B4:C4"/>
    <mergeCell ref="H4:H7"/>
    <mergeCell ref="B5:B7"/>
    <mergeCell ref="A2:A3"/>
    <mergeCell ref="B2:C3"/>
    <mergeCell ref="D2:D3"/>
    <mergeCell ref="E2:E3"/>
    <mergeCell ref="G2:G3"/>
    <mergeCell ref="I58:I60"/>
    <mergeCell ref="I5:I7"/>
    <mergeCell ref="I33:I34"/>
    <mergeCell ref="I42:I44"/>
    <mergeCell ref="F2:F3"/>
    <mergeCell ref="H2:H3"/>
  </mergeCells>
  <pageMargins left="0.15748031496062992" right="0.15748031496062992" top="0.19685039370078741" bottom="0.19685039370078741" header="0.15748031496062992" footer="0.15748031496062992"/>
  <pageSetup paperSize="9" scale="52" fitToHeight="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6"/>
  <sheetViews>
    <sheetView zoomScale="90" zoomScaleNormal="90" workbookViewId="0">
      <selection activeCell="A3" sqref="A3:B5"/>
    </sheetView>
  </sheetViews>
  <sheetFormatPr defaultRowHeight="15"/>
  <cols>
    <col min="2" max="2" width="25.5703125" customWidth="1"/>
    <col min="3" max="3" width="18.42578125" customWidth="1"/>
    <col min="4" max="4" width="18" customWidth="1"/>
    <col min="5" max="5" width="9.7109375" customWidth="1"/>
    <col min="6" max="6" width="15.7109375" customWidth="1"/>
    <col min="7" max="7" width="16.7109375" customWidth="1"/>
    <col min="8" max="8" width="9.5703125" customWidth="1"/>
    <col min="9" max="9" width="13.5703125" customWidth="1"/>
    <col min="10" max="10" width="14.85546875" customWidth="1"/>
    <col min="11" max="11" width="8.5703125" customWidth="1"/>
    <col min="12" max="12" width="13" customWidth="1"/>
    <col min="13" max="13" width="11.5703125" customWidth="1"/>
    <col min="14" max="14" width="8.7109375" customWidth="1"/>
    <col min="15" max="15" width="13.7109375" customWidth="1"/>
    <col min="16" max="16" width="13.28515625" customWidth="1"/>
    <col min="17" max="17" width="8.85546875" customWidth="1"/>
    <col min="18" max="18" width="17.42578125" hidden="1" customWidth="1"/>
  </cols>
  <sheetData>
    <row r="2" spans="1:18" ht="18.75">
      <c r="A2" s="210" t="s">
        <v>415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8">
      <c r="A3" s="226"/>
      <c r="B3" s="227"/>
      <c r="C3" s="220" t="s">
        <v>276</v>
      </c>
      <c r="D3" s="221"/>
      <c r="E3" s="222"/>
      <c r="F3" s="217" t="s">
        <v>267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8">
      <c r="A4" s="228"/>
      <c r="B4" s="229"/>
      <c r="C4" s="223"/>
      <c r="D4" s="224"/>
      <c r="E4" s="225"/>
      <c r="F4" s="232" t="s">
        <v>266</v>
      </c>
      <c r="G4" s="215"/>
      <c r="H4" s="216"/>
      <c r="I4" s="214" t="s">
        <v>264</v>
      </c>
      <c r="J4" s="215"/>
      <c r="K4" s="216"/>
      <c r="L4" s="214" t="s">
        <v>265</v>
      </c>
      <c r="M4" s="215"/>
      <c r="N4" s="216"/>
      <c r="O4" s="214" t="s">
        <v>274</v>
      </c>
      <c r="P4" s="215"/>
      <c r="Q4" s="216"/>
    </row>
    <row r="5" spans="1:18" ht="33" customHeight="1">
      <c r="A5" s="230"/>
      <c r="B5" s="231"/>
      <c r="C5" s="110" t="s">
        <v>271</v>
      </c>
      <c r="D5" s="111" t="s">
        <v>272</v>
      </c>
      <c r="E5" s="112" t="s">
        <v>273</v>
      </c>
      <c r="F5" s="110" t="s">
        <v>271</v>
      </c>
      <c r="G5" s="111" t="s">
        <v>272</v>
      </c>
      <c r="H5" s="112" t="s">
        <v>273</v>
      </c>
      <c r="I5" s="110" t="s">
        <v>271</v>
      </c>
      <c r="J5" s="111" t="s">
        <v>272</v>
      </c>
      <c r="K5" s="112" t="s">
        <v>273</v>
      </c>
      <c r="L5" s="110" t="s">
        <v>271</v>
      </c>
      <c r="M5" s="111" t="s">
        <v>272</v>
      </c>
      <c r="N5" s="112" t="s">
        <v>273</v>
      </c>
      <c r="O5" s="110" t="s">
        <v>271</v>
      </c>
      <c r="P5" s="111" t="s">
        <v>272</v>
      </c>
      <c r="Q5" s="112" t="s">
        <v>273</v>
      </c>
      <c r="R5" s="99"/>
    </row>
    <row r="6" spans="1:18" s="104" customFormat="1" ht="69.75" customHeight="1">
      <c r="A6" s="118">
        <v>1</v>
      </c>
      <c r="B6" s="115" t="s">
        <v>269</v>
      </c>
      <c r="C6" s="105">
        <f>C7+C8+C9+C10</f>
        <v>1742471800</v>
      </c>
      <c r="D6" s="105">
        <f>D7+D8+D9+D10</f>
        <v>371132246.56999999</v>
      </c>
      <c r="E6" s="106">
        <f>D6/C6*100</f>
        <v>21.299182378159578</v>
      </c>
      <c r="F6" s="348">
        <f>F7+F8+F9+F10</f>
        <v>1503349400</v>
      </c>
      <c r="G6" s="348">
        <f>G7+G8+G9+G10</f>
        <v>329825253.77999997</v>
      </c>
      <c r="H6" s="349">
        <f>G6/F6*100</f>
        <v>21.939361121240346</v>
      </c>
      <c r="I6" s="348">
        <f>I7+I8+I9+I10</f>
        <v>236593200</v>
      </c>
      <c r="J6" s="348">
        <f>J7+J8+J9+J10</f>
        <v>41306992.789999999</v>
      </c>
      <c r="K6" s="349">
        <f>J6/I6*100</f>
        <v>17.459078616798791</v>
      </c>
      <c r="L6" s="348">
        <f>L7+L8+L9+L10</f>
        <v>2529200</v>
      </c>
      <c r="M6" s="348">
        <f>M7+M8+M9+M10</f>
        <v>0</v>
      </c>
      <c r="N6" s="349">
        <f>M6/L6*100</f>
        <v>0</v>
      </c>
      <c r="O6" s="348">
        <f>O7+O8+O9+O10</f>
        <v>0</v>
      </c>
      <c r="P6" s="348">
        <f>P7+P8+P9+P10</f>
        <v>0</v>
      </c>
      <c r="Q6" s="349"/>
      <c r="R6" s="109" t="s">
        <v>259</v>
      </c>
    </row>
    <row r="7" spans="1:18" s="103" customFormat="1">
      <c r="A7" s="211" t="s">
        <v>260</v>
      </c>
      <c r="B7" s="100" t="s">
        <v>261</v>
      </c>
      <c r="C7" s="107">
        <f t="shared" ref="C7:D11" si="0">F7+I7+L7+O7</f>
        <v>1254051800</v>
      </c>
      <c r="D7" s="102">
        <f t="shared" si="0"/>
        <v>307957001.88999999</v>
      </c>
      <c r="E7" s="106">
        <f t="shared" ref="E7:E12" si="1">D7/C7*100</f>
        <v>24.556960238006116</v>
      </c>
      <c r="F7" s="350">
        <f>776016000-348302400+607045100-2279300</f>
        <v>1032479400</v>
      </c>
      <c r="G7" s="351">
        <f>150011488.69-62035594.68-1139650+179813765.09</f>
        <v>266650009.09999999</v>
      </c>
      <c r="H7" s="352">
        <f t="shared" ref="H7:H12" si="2">G7/F7*100</f>
        <v>25.826182013897807</v>
      </c>
      <c r="I7" s="350">
        <v>221572400</v>
      </c>
      <c r="J7" s="351">
        <v>41306992.789999999</v>
      </c>
      <c r="K7" s="352">
        <f t="shared" ref="K7:K12" si="3">J7/I7*100</f>
        <v>18.642661626628588</v>
      </c>
      <c r="L7" s="350"/>
      <c r="M7" s="351"/>
      <c r="N7" s="352"/>
      <c r="O7" s="350"/>
      <c r="P7" s="351"/>
      <c r="Q7" s="352"/>
      <c r="R7" s="101">
        <f>-44038600-1455400-26328400-150000000</f>
        <v>-221822400</v>
      </c>
    </row>
    <row r="8" spans="1:18" s="103" customFormat="1">
      <c r="A8" s="212"/>
      <c r="B8" s="100" t="s">
        <v>262</v>
      </c>
      <c r="C8" s="107">
        <f t="shared" si="0"/>
        <v>453110900</v>
      </c>
      <c r="D8" s="102">
        <f t="shared" si="0"/>
        <v>63175244.68</v>
      </c>
      <c r="E8" s="106">
        <f t="shared" si="1"/>
        <v>13.942556817768011</v>
      </c>
      <c r="F8" s="350">
        <f>348302400+100000000+2279300</f>
        <v>450581700</v>
      </c>
      <c r="G8" s="350">
        <f>62035594.68+1139650</f>
        <v>63175244.68</v>
      </c>
      <c r="H8" s="352">
        <f t="shared" si="2"/>
        <v>14.020819016839786</v>
      </c>
      <c r="I8" s="350"/>
      <c r="J8" s="351"/>
      <c r="K8" s="352"/>
      <c r="L8" s="350">
        <v>2529200</v>
      </c>
      <c r="M8" s="351">
        <v>0</v>
      </c>
      <c r="N8" s="352">
        <f>M8/L8*100</f>
        <v>0</v>
      </c>
      <c r="O8" s="350"/>
      <c r="P8" s="351"/>
      <c r="Q8" s="352"/>
      <c r="R8" s="101"/>
    </row>
    <row r="9" spans="1:18" s="103" customFormat="1">
      <c r="A9" s="212"/>
      <c r="B9" s="100" t="s">
        <v>263</v>
      </c>
      <c r="C9" s="107"/>
      <c r="D9" s="102"/>
      <c r="E9" s="108"/>
      <c r="F9" s="350"/>
      <c r="G9" s="351"/>
      <c r="H9" s="352"/>
      <c r="I9" s="350"/>
      <c r="J9" s="351"/>
      <c r="K9" s="352"/>
      <c r="L9" s="350"/>
      <c r="M9" s="351"/>
      <c r="N9" s="352"/>
      <c r="O9" s="350"/>
      <c r="P9" s="351"/>
      <c r="Q9" s="352"/>
      <c r="R9" s="101"/>
    </row>
    <row r="10" spans="1:18" s="103" customFormat="1" ht="30">
      <c r="A10" s="213"/>
      <c r="B10" s="117" t="s">
        <v>301</v>
      </c>
      <c r="C10" s="107">
        <f t="shared" si="0"/>
        <v>35309100</v>
      </c>
      <c r="D10" s="102">
        <f t="shared" si="0"/>
        <v>0</v>
      </c>
      <c r="E10" s="108">
        <f t="shared" si="1"/>
        <v>0</v>
      </c>
      <c r="F10" s="350">
        <f>20288300</f>
        <v>20288300</v>
      </c>
      <c r="G10" s="351">
        <v>0</v>
      </c>
      <c r="H10" s="352">
        <f t="shared" si="2"/>
        <v>0</v>
      </c>
      <c r="I10" s="350">
        <v>15020800</v>
      </c>
      <c r="J10" s="351">
        <v>0</v>
      </c>
      <c r="K10" s="352">
        <f t="shared" si="3"/>
        <v>0</v>
      </c>
      <c r="L10" s="350"/>
      <c r="M10" s="351"/>
      <c r="N10" s="352"/>
      <c r="O10" s="348"/>
      <c r="P10" s="353"/>
      <c r="Q10" s="349"/>
      <c r="R10" s="101"/>
    </row>
    <row r="11" spans="1:18" s="104" customFormat="1" ht="60" customHeight="1">
      <c r="A11" s="118">
        <v>2</v>
      </c>
      <c r="B11" s="116" t="s">
        <v>275</v>
      </c>
      <c r="C11" s="105">
        <f t="shared" si="0"/>
        <v>3778359300</v>
      </c>
      <c r="D11" s="98">
        <f>G11+J11+M11+P11</f>
        <v>949968832.92000008</v>
      </c>
      <c r="E11" s="106">
        <f t="shared" si="1"/>
        <v>25.142363589402418</v>
      </c>
      <c r="F11" s="348">
        <f>38514600+1074331600+128916900+4200000+2350670800</f>
        <v>3596633900</v>
      </c>
      <c r="G11" s="353">
        <f>9012482.07+272185398.04+26392790.48+733129.25+615492090.07</f>
        <v>923815889.91000009</v>
      </c>
      <c r="H11" s="349">
        <f t="shared" si="2"/>
        <v>25.685569218207061</v>
      </c>
      <c r="I11" s="348">
        <f>19117100+75852900</f>
        <v>94970000</v>
      </c>
      <c r="J11" s="353">
        <f>1679028.3+12445800.61</f>
        <v>14124828.91</v>
      </c>
      <c r="K11" s="349">
        <f t="shared" si="3"/>
        <v>14.872937675055281</v>
      </c>
      <c r="L11" s="348">
        <v>755500</v>
      </c>
      <c r="M11" s="353">
        <v>0</v>
      </c>
      <c r="N11" s="349">
        <f>M11/L11*100</f>
        <v>0</v>
      </c>
      <c r="O11" s="348">
        <f>85700+2267400+83646800</f>
        <v>85999900</v>
      </c>
      <c r="P11" s="353">
        <f>4000+197704.78+11826409.32</f>
        <v>12028114.1</v>
      </c>
      <c r="Q11" s="349">
        <f>P11/O11*100</f>
        <v>13.986195449064475</v>
      </c>
      <c r="R11" s="109"/>
    </row>
    <row r="12" spans="1:18" s="103" customFormat="1" ht="111" customHeight="1">
      <c r="A12" s="118">
        <v>3</v>
      </c>
      <c r="B12" s="117" t="s">
        <v>268</v>
      </c>
      <c r="C12" s="113">
        <f>C6+C11</f>
        <v>5520831100</v>
      </c>
      <c r="D12" s="114">
        <f>D6+D11</f>
        <v>1321101079.49</v>
      </c>
      <c r="E12" s="108">
        <f t="shared" si="1"/>
        <v>23.929387723707034</v>
      </c>
      <c r="F12" s="354">
        <f>F11+F6</f>
        <v>5099983300</v>
      </c>
      <c r="G12" s="354">
        <f>G11+G6</f>
        <v>1253641143.6900001</v>
      </c>
      <c r="H12" s="355">
        <f t="shared" si="2"/>
        <v>24.581279387522699</v>
      </c>
      <c r="I12" s="354">
        <f>I6+I11</f>
        <v>331563200</v>
      </c>
      <c r="J12" s="356">
        <f>J6+J11</f>
        <v>55431821.700000003</v>
      </c>
      <c r="K12" s="355">
        <f t="shared" si="3"/>
        <v>16.71832751644332</v>
      </c>
      <c r="L12" s="354">
        <f>L6+L11</f>
        <v>3284700</v>
      </c>
      <c r="M12" s="356">
        <f>M6+M11</f>
        <v>0</v>
      </c>
      <c r="N12" s="355">
        <f>M12/L12*100</f>
        <v>0</v>
      </c>
      <c r="O12" s="354">
        <f>O6+O11</f>
        <v>85999900</v>
      </c>
      <c r="P12" s="356">
        <f>P6+P11</f>
        <v>12028114.1</v>
      </c>
      <c r="Q12" s="355">
        <f>P12/O12*100</f>
        <v>13.986195449064475</v>
      </c>
      <c r="R12" s="101"/>
    </row>
    <row r="13" spans="1:18">
      <c r="C13" s="97"/>
      <c r="D13" s="97"/>
      <c r="E13" s="97"/>
      <c r="O13" s="130"/>
    </row>
    <row r="14" spans="1:18">
      <c r="A14" s="119"/>
      <c r="D14" s="97"/>
      <c r="F14" s="97"/>
      <c r="G14" s="97"/>
      <c r="H14" s="97"/>
    </row>
    <row r="15" spans="1:18">
      <c r="O15" s="97"/>
    </row>
    <row r="16" spans="1:18">
      <c r="G16" s="97"/>
    </row>
  </sheetData>
  <mergeCells count="9">
    <mergeCell ref="A2:Q2"/>
    <mergeCell ref="A7:A10"/>
    <mergeCell ref="O4:Q4"/>
    <mergeCell ref="F3:Q3"/>
    <mergeCell ref="C3:E4"/>
    <mergeCell ref="A3:B5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U827"/>
  <sheetViews>
    <sheetView tabSelected="1" view="pageBreakPreview" zoomScale="60" zoomScaleNormal="60" workbookViewId="0">
      <selection sqref="A1:H1"/>
    </sheetView>
  </sheetViews>
  <sheetFormatPr defaultColWidth="0" defaultRowHeight="18.75"/>
  <cols>
    <col min="1" max="1" width="8" style="1" customWidth="1"/>
    <col min="2" max="2" width="12.28515625" style="1" customWidth="1"/>
    <col min="3" max="3" width="79.42578125" style="3" customWidth="1"/>
    <col min="4" max="5" width="30.85546875" style="1" customWidth="1"/>
    <col min="6" max="6" width="31.85546875" style="1" customWidth="1"/>
    <col min="7" max="7" width="18.28515625" style="1" customWidth="1"/>
    <col min="8" max="8" width="57" style="317" customWidth="1"/>
    <col min="9" max="218" width="8.85546875" style="1" customWidth="1"/>
    <col min="219" max="219" width="2.5703125" style="1" customWidth="1"/>
    <col min="220" max="220" width="46.85546875" style="1" customWidth="1"/>
    <col min="221" max="221" width="13.7109375" style="1" customWidth="1"/>
    <col min="222" max="228" width="0" style="1" hidden="1" customWidth="1"/>
    <col min="229" max="229" width="15.28515625" style="1" customWidth="1"/>
    <col min="230" max="16384" width="0" style="1" hidden="1"/>
  </cols>
  <sheetData>
    <row r="1" spans="1:8" ht="36.75" customHeight="1">
      <c r="A1" s="207" t="s">
        <v>414</v>
      </c>
      <c r="B1" s="207"/>
      <c r="C1" s="207"/>
      <c r="D1" s="207"/>
      <c r="E1" s="207"/>
      <c r="F1" s="207"/>
      <c r="G1" s="207"/>
      <c r="H1" s="207"/>
    </row>
    <row r="2" spans="1:8" s="6" customFormat="1" ht="139.5" customHeight="1">
      <c r="A2" s="145"/>
      <c r="B2" s="172" t="s">
        <v>0</v>
      </c>
      <c r="C2" s="173"/>
      <c r="D2" s="201" t="s">
        <v>302</v>
      </c>
      <c r="E2" s="201" t="s">
        <v>303</v>
      </c>
      <c r="F2" s="170" t="s">
        <v>304</v>
      </c>
      <c r="G2" s="170" t="s">
        <v>305</v>
      </c>
      <c r="H2" s="293" t="s">
        <v>59</v>
      </c>
    </row>
    <row r="3" spans="1:8" s="6" customFormat="1" ht="8.25" customHeight="1">
      <c r="A3" s="146"/>
      <c r="B3" s="174"/>
      <c r="C3" s="175"/>
      <c r="D3" s="202"/>
      <c r="E3" s="202"/>
      <c r="F3" s="171"/>
      <c r="G3" s="171"/>
      <c r="H3" s="294"/>
    </row>
    <row r="4" spans="1:8" s="10" customFormat="1" ht="43.5" customHeight="1">
      <c r="A4" s="131">
        <v>1</v>
      </c>
      <c r="B4" s="276" t="s">
        <v>384</v>
      </c>
      <c r="C4" s="277"/>
      <c r="D4" s="51">
        <f>D5+D6+D7</f>
        <v>38514600</v>
      </c>
      <c r="E4" s="51">
        <f>E5+E6+E7</f>
        <v>38514600</v>
      </c>
      <c r="F4" s="51">
        <f>F5+F6+F7</f>
        <v>9012482.0700000003</v>
      </c>
      <c r="G4" s="125">
        <f>F4/E4*100</f>
        <v>23.400170506768863</v>
      </c>
      <c r="H4" s="295"/>
    </row>
    <row r="5" spans="1:8" s="10" customFormat="1" ht="26.25" customHeight="1">
      <c r="A5" s="132"/>
      <c r="B5" s="178" t="s">
        <v>50</v>
      </c>
      <c r="C5" s="11" t="s">
        <v>51</v>
      </c>
      <c r="D5" s="35">
        <f>26930300+8133000</f>
        <v>35063300</v>
      </c>
      <c r="E5" s="35">
        <f>26930300+8133000</f>
        <v>35063300</v>
      </c>
      <c r="F5" s="87">
        <f>6258199.3+1853812.18</f>
        <v>8112011.4799999995</v>
      </c>
      <c r="G5" s="124">
        <f>F5/E5*100</f>
        <v>23.135333753525764</v>
      </c>
      <c r="H5" s="296"/>
    </row>
    <row r="6" spans="1:8" s="10" customFormat="1" ht="26.25" customHeight="1">
      <c r="A6" s="132"/>
      <c r="B6" s="179"/>
      <c r="C6" s="11" t="s">
        <v>17</v>
      </c>
      <c r="D6" s="35"/>
      <c r="E6" s="35"/>
      <c r="F6" s="87"/>
      <c r="G6" s="124"/>
      <c r="H6" s="296"/>
    </row>
    <row r="7" spans="1:8" s="10" customFormat="1" ht="32.25" customHeight="1">
      <c r="A7" s="133"/>
      <c r="B7" s="180"/>
      <c r="C7" s="11" t="s">
        <v>52</v>
      </c>
      <c r="D7" s="35">
        <v>3451300</v>
      </c>
      <c r="E7" s="35">
        <v>3451300</v>
      </c>
      <c r="F7" s="87">
        <f>827409.3+73061.29</f>
        <v>900470.59000000008</v>
      </c>
      <c r="G7" s="124">
        <f t="shared" ref="G7" si="0">F7/E7*100</f>
        <v>26.090765508648918</v>
      </c>
      <c r="H7" s="297"/>
    </row>
    <row r="8" spans="1:8" s="10" customFormat="1" ht="30" customHeight="1">
      <c r="A8" s="131">
        <v>2</v>
      </c>
      <c r="B8" s="278" t="s">
        <v>6</v>
      </c>
      <c r="C8" s="279"/>
      <c r="D8" s="51">
        <f>D9+D10+D11+D12+D13</f>
        <v>1064831600</v>
      </c>
      <c r="E8" s="51">
        <f>E9+E10+E11+E12+E13</f>
        <v>1074331600</v>
      </c>
      <c r="F8" s="51">
        <f>F9+F10+F11+F12+F13</f>
        <v>272185398.03999996</v>
      </c>
      <c r="G8" s="125">
        <f t="shared" ref="G8:G36" si="1">F8/E8*100</f>
        <v>25.335324590657109</v>
      </c>
      <c r="H8" s="298" t="s">
        <v>386</v>
      </c>
    </row>
    <row r="9" spans="1:8" s="10" customFormat="1" ht="32.25" customHeight="1">
      <c r="A9" s="132"/>
      <c r="B9" s="181" t="s">
        <v>50</v>
      </c>
      <c r="C9" s="11" t="s">
        <v>53</v>
      </c>
      <c r="D9" s="55">
        <v>790199700</v>
      </c>
      <c r="E9" s="55">
        <v>800199700</v>
      </c>
      <c r="F9" s="55">
        <v>205075625</v>
      </c>
      <c r="G9" s="124">
        <f t="shared" si="1"/>
        <v>25.628055721590499</v>
      </c>
      <c r="H9" s="299"/>
    </row>
    <row r="10" spans="1:8" s="10" customFormat="1" ht="35.25" customHeight="1">
      <c r="A10" s="132"/>
      <c r="B10" s="182"/>
      <c r="C10" s="11" t="s">
        <v>13</v>
      </c>
      <c r="D10" s="55">
        <v>118468200</v>
      </c>
      <c r="E10" s="55">
        <v>118468200</v>
      </c>
      <c r="F10" s="55">
        <v>37425401.039999999</v>
      </c>
      <c r="G10" s="124">
        <f t="shared" si="1"/>
        <v>31.591094521567815</v>
      </c>
      <c r="H10" s="299"/>
    </row>
    <row r="11" spans="1:8" s="10" customFormat="1" ht="32.25" customHeight="1">
      <c r="A11" s="132"/>
      <c r="B11" s="182"/>
      <c r="C11" s="11" t="s">
        <v>46</v>
      </c>
      <c r="D11" s="55">
        <v>91638300</v>
      </c>
      <c r="E11" s="55">
        <v>91638300</v>
      </c>
      <c r="F11" s="55">
        <v>18177072</v>
      </c>
      <c r="G11" s="124">
        <f t="shared" si="1"/>
        <v>19.835671329564168</v>
      </c>
      <c r="H11" s="299"/>
    </row>
    <row r="12" spans="1:8" s="10" customFormat="1" ht="32.25" customHeight="1">
      <c r="A12" s="132"/>
      <c r="B12" s="182"/>
      <c r="C12" s="11" t="s">
        <v>47</v>
      </c>
      <c r="D12" s="55">
        <v>7992000</v>
      </c>
      <c r="E12" s="55">
        <v>7992000</v>
      </c>
      <c r="F12" s="55">
        <v>1575200</v>
      </c>
      <c r="G12" s="124">
        <f t="shared" si="1"/>
        <v>19.70970970970971</v>
      </c>
      <c r="H12" s="299"/>
    </row>
    <row r="13" spans="1:8" s="10" customFormat="1" ht="30" customHeight="1">
      <c r="A13" s="133"/>
      <c r="B13" s="183"/>
      <c r="C13" s="11" t="s">
        <v>48</v>
      </c>
      <c r="D13" s="35">
        <v>56533400</v>
      </c>
      <c r="E13" s="35">
        <v>56033400</v>
      </c>
      <c r="F13" s="87">
        <v>9932100</v>
      </c>
      <c r="G13" s="124">
        <f t="shared" si="1"/>
        <v>17.725320969279039</v>
      </c>
      <c r="H13" s="300"/>
    </row>
    <row r="14" spans="1:8" s="10" customFormat="1" ht="39.75" customHeight="1">
      <c r="A14" s="131">
        <v>3</v>
      </c>
      <c r="B14" s="273" t="s">
        <v>372</v>
      </c>
      <c r="C14" s="274"/>
      <c r="D14" s="54">
        <f>SUM(D15:D17)</f>
        <v>128916900</v>
      </c>
      <c r="E14" s="54">
        <f>SUM(E15:E17)</f>
        <v>128916900</v>
      </c>
      <c r="F14" s="54">
        <f>F15+F16+F17</f>
        <v>26392790.48</v>
      </c>
      <c r="G14" s="275">
        <f t="shared" si="1"/>
        <v>20.472715741690966</v>
      </c>
      <c r="H14" s="298"/>
    </row>
    <row r="15" spans="1:8" s="10" customFormat="1" ht="30" customHeight="1">
      <c r="A15" s="132"/>
      <c r="B15" s="237" t="s">
        <v>50</v>
      </c>
      <c r="C15" s="126" t="s">
        <v>373</v>
      </c>
      <c r="D15" s="87">
        <v>111933600</v>
      </c>
      <c r="E15" s="87">
        <v>111933600</v>
      </c>
      <c r="F15" s="87">
        <v>23918237.219999999</v>
      </c>
      <c r="G15" s="124">
        <f>F15/E15*100</f>
        <v>21.368237258517546</v>
      </c>
      <c r="H15" s="299"/>
    </row>
    <row r="16" spans="1:8" s="10" customFormat="1" ht="30" customHeight="1">
      <c r="A16" s="132"/>
      <c r="B16" s="238"/>
      <c r="C16" s="126" t="s">
        <v>374</v>
      </c>
      <c r="D16" s="87">
        <v>4899800</v>
      </c>
      <c r="E16" s="87">
        <v>4899800</v>
      </c>
      <c r="F16" s="87">
        <v>1180000</v>
      </c>
      <c r="G16" s="124">
        <f t="shared" ref="G16:G17" si="2">F16/E16*100</f>
        <v>24.082615616963956</v>
      </c>
      <c r="H16" s="299"/>
    </row>
    <row r="17" spans="1:8" s="10" customFormat="1" ht="30" customHeight="1">
      <c r="A17" s="133"/>
      <c r="B17" s="239"/>
      <c r="C17" s="126" t="s">
        <v>375</v>
      </c>
      <c r="D17" s="87">
        <v>12083500</v>
      </c>
      <c r="E17" s="87">
        <v>12083500</v>
      </c>
      <c r="F17" s="87">
        <v>1294553.26</v>
      </c>
      <c r="G17" s="124">
        <f t="shared" si="2"/>
        <v>10.713396449704142</v>
      </c>
      <c r="H17" s="300"/>
    </row>
    <row r="18" spans="1:8" s="10" customFormat="1" ht="45" customHeight="1">
      <c r="A18" s="131">
        <v>4</v>
      </c>
      <c r="B18" s="278" t="s">
        <v>296</v>
      </c>
      <c r="C18" s="279"/>
      <c r="D18" s="51">
        <f>D19+D20+D21+D22+D23</f>
        <v>75852900</v>
      </c>
      <c r="E18" s="51">
        <f>E19+E20+E21+E22+E23</f>
        <v>75852900</v>
      </c>
      <c r="F18" s="51">
        <f>F19+F20+F21+F22+F23</f>
        <v>12445800.609999999</v>
      </c>
      <c r="G18" s="125">
        <f t="shared" si="1"/>
        <v>16.407811184542712</v>
      </c>
      <c r="H18" s="301"/>
    </row>
    <row r="19" spans="1:8" s="10" customFormat="1" ht="30.75" customHeight="1">
      <c r="A19" s="132"/>
      <c r="B19" s="151" t="s">
        <v>12</v>
      </c>
      <c r="C19" s="11" t="s">
        <v>54</v>
      </c>
      <c r="D19" s="35">
        <v>57410000</v>
      </c>
      <c r="E19" s="35">
        <v>57410000</v>
      </c>
      <c r="F19" s="87">
        <v>9855615.1899999995</v>
      </c>
      <c r="G19" s="124">
        <f t="shared" si="1"/>
        <v>17.167070527782617</v>
      </c>
      <c r="H19" s="302"/>
    </row>
    <row r="20" spans="1:8" s="10" customFormat="1" ht="29.25" customHeight="1">
      <c r="A20" s="132"/>
      <c r="B20" s="152"/>
      <c r="C20" s="11" t="s">
        <v>37</v>
      </c>
      <c r="D20" s="35">
        <v>4934800</v>
      </c>
      <c r="E20" s="35">
        <v>4934800</v>
      </c>
      <c r="F20" s="87">
        <v>1301800</v>
      </c>
      <c r="G20" s="124">
        <f t="shared" si="1"/>
        <v>26.379995136581012</v>
      </c>
      <c r="H20" s="302"/>
    </row>
    <row r="21" spans="1:8" s="10" customFormat="1" ht="54.75" customHeight="1">
      <c r="A21" s="132"/>
      <c r="B21" s="152"/>
      <c r="C21" s="11" t="s">
        <v>49</v>
      </c>
      <c r="D21" s="35">
        <v>13508100</v>
      </c>
      <c r="E21" s="35">
        <v>13508100</v>
      </c>
      <c r="F21" s="87">
        <v>1288385.42</v>
      </c>
      <c r="G21" s="124">
        <f t="shared" si="1"/>
        <v>9.537872979915754</v>
      </c>
      <c r="H21" s="302"/>
    </row>
    <row r="22" spans="1:8" s="10" customFormat="1" ht="56.25" hidden="1" customHeight="1">
      <c r="A22" s="132"/>
      <c r="B22" s="152"/>
      <c r="C22" s="37" t="s">
        <v>15</v>
      </c>
      <c r="D22" s="35">
        <v>0</v>
      </c>
      <c r="E22" s="35">
        <v>0</v>
      </c>
      <c r="F22" s="87">
        <v>0</v>
      </c>
      <c r="G22" s="124"/>
      <c r="H22" s="303"/>
    </row>
    <row r="23" spans="1:8" s="10" customFormat="1" ht="37.5" hidden="1" customHeight="1">
      <c r="A23" s="133"/>
      <c r="B23" s="153"/>
      <c r="C23" s="7" t="s">
        <v>16</v>
      </c>
      <c r="D23" s="35">
        <v>0</v>
      </c>
      <c r="E23" s="35">
        <v>0</v>
      </c>
      <c r="F23" s="35">
        <v>0</v>
      </c>
      <c r="G23" s="124"/>
      <c r="H23" s="304"/>
    </row>
    <row r="24" spans="1:8" s="10" customFormat="1" ht="74.25" customHeight="1">
      <c r="A24" s="131">
        <v>5</v>
      </c>
      <c r="B24" s="233" t="s">
        <v>221</v>
      </c>
      <c r="C24" s="234"/>
      <c r="D24" s="54">
        <f>SUM(D25:D27)</f>
        <v>3700000</v>
      </c>
      <c r="E24" s="54">
        <f>SUM(E25:E27)</f>
        <v>4200000</v>
      </c>
      <c r="F24" s="54">
        <f>SUM(F25:F27)</f>
        <v>733129.25</v>
      </c>
      <c r="G24" s="125">
        <f t="shared" si="1"/>
        <v>17.455458333333336</v>
      </c>
      <c r="H24" s="305" t="s">
        <v>387</v>
      </c>
    </row>
    <row r="25" spans="1:8" s="10" customFormat="1" ht="37.5" customHeight="1">
      <c r="A25" s="132"/>
      <c r="B25" s="237" t="s">
        <v>50</v>
      </c>
      <c r="C25" s="126" t="s">
        <v>292</v>
      </c>
      <c r="D25" s="87">
        <v>3100000</v>
      </c>
      <c r="E25" s="87">
        <v>3600000</v>
      </c>
      <c r="F25" s="127">
        <f>527000+118000</f>
        <v>645000</v>
      </c>
      <c r="G25" s="124">
        <f t="shared" si="1"/>
        <v>17.916666666666668</v>
      </c>
      <c r="H25" s="306"/>
    </row>
    <row r="26" spans="1:8" s="10" customFormat="1" ht="69.75" customHeight="1">
      <c r="A26" s="132"/>
      <c r="B26" s="238"/>
      <c r="C26" s="126" t="s">
        <v>293</v>
      </c>
      <c r="D26" s="87">
        <v>100000</v>
      </c>
      <c r="E26" s="87">
        <v>100000</v>
      </c>
      <c r="F26" s="127"/>
      <c r="G26" s="124">
        <f t="shared" si="1"/>
        <v>0</v>
      </c>
      <c r="H26" s="307" t="s">
        <v>388</v>
      </c>
    </row>
    <row r="27" spans="1:8" s="10" customFormat="1" ht="63.75" customHeight="1">
      <c r="A27" s="133"/>
      <c r="B27" s="239"/>
      <c r="C27" s="126" t="s">
        <v>294</v>
      </c>
      <c r="D27" s="87">
        <v>500000</v>
      </c>
      <c r="E27" s="87">
        <v>500000</v>
      </c>
      <c r="F27" s="127">
        <v>88129.25</v>
      </c>
      <c r="G27" s="124">
        <f t="shared" si="1"/>
        <v>17.62585</v>
      </c>
      <c r="H27" s="307" t="s">
        <v>389</v>
      </c>
    </row>
    <row r="28" spans="1:8" s="17" customFormat="1" ht="36" customHeight="1">
      <c r="A28" s="30">
        <v>6</v>
      </c>
      <c r="B28" s="346" t="s">
        <v>385</v>
      </c>
      <c r="C28" s="347"/>
      <c r="D28" s="51">
        <f>D30+D31+D32+D33+D34+D37+D57</f>
        <v>4194240400</v>
      </c>
      <c r="E28" s="51">
        <f t="shared" ref="E28:F28" si="3">E30+E31+E32+E33+E34+E37+E57</f>
        <v>4199015100</v>
      </c>
      <c r="F28" s="51">
        <f t="shared" si="3"/>
        <v>1000331479.04</v>
      </c>
      <c r="G28" s="125">
        <f t="shared" si="1"/>
        <v>23.823002661743224</v>
      </c>
      <c r="H28" s="22"/>
    </row>
    <row r="29" spans="1:8" s="17" customFormat="1" ht="20.25">
      <c r="A29" s="33"/>
      <c r="B29" s="163" t="s">
        <v>12</v>
      </c>
      <c r="C29" s="164"/>
      <c r="D29" s="52"/>
      <c r="E29" s="52"/>
      <c r="F29" s="52"/>
      <c r="G29" s="59"/>
      <c r="H29" s="22"/>
    </row>
    <row r="30" spans="1:8" s="17" customFormat="1" ht="87" customHeight="1">
      <c r="A30" s="290" t="s">
        <v>392</v>
      </c>
      <c r="B30" s="186" t="s">
        <v>297</v>
      </c>
      <c r="C30" s="187"/>
      <c r="D30" s="53">
        <v>0</v>
      </c>
      <c r="E30" s="53">
        <v>0</v>
      </c>
      <c r="F30" s="53">
        <v>0</v>
      </c>
      <c r="G30" s="59" t="e">
        <f t="shared" si="1"/>
        <v>#DIV/0!</v>
      </c>
      <c r="H30" s="128" t="s">
        <v>299</v>
      </c>
    </row>
    <row r="31" spans="1:8" s="17" customFormat="1" ht="89.25" customHeight="1">
      <c r="A31" s="290" t="s">
        <v>393</v>
      </c>
      <c r="B31" s="184" t="s">
        <v>298</v>
      </c>
      <c r="C31" s="185"/>
      <c r="D31" s="53">
        <v>85700</v>
      </c>
      <c r="E31" s="53">
        <v>85700</v>
      </c>
      <c r="F31" s="88">
        <v>4000</v>
      </c>
      <c r="G31" s="59">
        <f t="shared" si="1"/>
        <v>4.6674445740956827</v>
      </c>
      <c r="H31" s="128" t="s">
        <v>300</v>
      </c>
    </row>
    <row r="32" spans="1:8" s="17" customFormat="1" ht="75" customHeight="1">
      <c r="A32" s="290" t="s">
        <v>394</v>
      </c>
      <c r="B32" s="184" t="s">
        <v>295</v>
      </c>
      <c r="C32" s="185"/>
      <c r="D32" s="88">
        <v>2267400</v>
      </c>
      <c r="E32" s="88">
        <v>2267400</v>
      </c>
      <c r="F32" s="88">
        <f>22500+118500+56704.78</f>
        <v>197704.78</v>
      </c>
      <c r="G32" s="59">
        <f t="shared" si="1"/>
        <v>8.719448707771015</v>
      </c>
      <c r="H32" s="22" t="s">
        <v>390</v>
      </c>
    </row>
    <row r="33" spans="1:8" s="17" customFormat="1" ht="82.5" customHeight="1">
      <c r="A33" s="290" t="s">
        <v>395</v>
      </c>
      <c r="B33" s="205" t="s">
        <v>379</v>
      </c>
      <c r="C33" s="206"/>
      <c r="D33" s="43">
        <v>83646800</v>
      </c>
      <c r="E33" s="43">
        <v>83646800</v>
      </c>
      <c r="F33" s="88">
        <v>11826409.32</v>
      </c>
      <c r="G33" s="59">
        <f t="shared" si="1"/>
        <v>14.13850777316048</v>
      </c>
      <c r="H33" s="308" t="s">
        <v>400</v>
      </c>
    </row>
    <row r="34" spans="1:8" s="17" customFormat="1" ht="99" customHeight="1">
      <c r="A34" s="291" t="s">
        <v>396</v>
      </c>
      <c r="B34" s="280" t="s">
        <v>89</v>
      </c>
      <c r="C34" s="280"/>
      <c r="D34" s="94">
        <f>D35+D36</f>
        <v>3284700</v>
      </c>
      <c r="E34" s="94">
        <f t="shared" ref="E34:F34" si="4">E35+E36</f>
        <v>3284700</v>
      </c>
      <c r="F34" s="94">
        <f t="shared" si="4"/>
        <v>0</v>
      </c>
      <c r="G34" s="284">
        <f t="shared" si="1"/>
        <v>0</v>
      </c>
      <c r="H34" s="22"/>
    </row>
    <row r="35" spans="1:8" s="17" customFormat="1" ht="30.75" customHeight="1">
      <c r="A35" s="291"/>
      <c r="B35" s="281" t="s">
        <v>376</v>
      </c>
      <c r="C35" s="318" t="s">
        <v>377</v>
      </c>
      <c r="D35" s="87">
        <v>2529200</v>
      </c>
      <c r="E35" s="87">
        <v>2529200</v>
      </c>
      <c r="F35" s="87">
        <v>0</v>
      </c>
      <c r="G35" s="59">
        <f t="shared" si="1"/>
        <v>0</v>
      </c>
      <c r="H35" s="22"/>
    </row>
    <row r="36" spans="1:8" s="17" customFormat="1" ht="27" customHeight="1">
      <c r="A36" s="291"/>
      <c r="B36" s="281"/>
      <c r="C36" s="318" t="s">
        <v>378</v>
      </c>
      <c r="D36" s="87">
        <v>755500</v>
      </c>
      <c r="E36" s="87">
        <v>755500</v>
      </c>
      <c r="F36" s="87">
        <v>0</v>
      </c>
      <c r="G36" s="59">
        <f t="shared" si="1"/>
        <v>0</v>
      </c>
      <c r="H36" s="22"/>
    </row>
    <row r="37" spans="1:8" s="17" customFormat="1" ht="62.25" customHeight="1">
      <c r="A37" s="291" t="s">
        <v>397</v>
      </c>
      <c r="B37" s="285" t="s">
        <v>358</v>
      </c>
      <c r="C37" s="285"/>
      <c r="D37" s="94">
        <f>D38+D42</f>
        <v>255935600</v>
      </c>
      <c r="E37" s="94">
        <f t="shared" ref="E37:F37" si="5">E38+E42</f>
        <v>255710300</v>
      </c>
      <c r="F37" s="94">
        <f t="shared" si="5"/>
        <v>42986021.089999989</v>
      </c>
      <c r="G37" s="284">
        <f t="shared" ref="G37:G57" si="6">F37/E37*100</f>
        <v>16.810437862690705</v>
      </c>
      <c r="H37" s="309"/>
    </row>
    <row r="38" spans="1:8" s="17" customFormat="1" ht="20.25" customHeight="1">
      <c r="A38" s="291"/>
      <c r="B38" s="286" t="s">
        <v>307</v>
      </c>
      <c r="C38" s="286"/>
      <c r="D38" s="272">
        <f>D39+D40+D41</f>
        <v>236593200</v>
      </c>
      <c r="E38" s="272">
        <f t="shared" ref="E38:F38" si="7">E39+E40+E41</f>
        <v>236593200</v>
      </c>
      <c r="F38" s="272">
        <f t="shared" si="7"/>
        <v>41306992.789999992</v>
      </c>
      <c r="G38" s="59">
        <f t="shared" si="6"/>
        <v>17.459078616798791</v>
      </c>
      <c r="H38" s="309"/>
    </row>
    <row r="39" spans="1:8" s="17" customFormat="1" ht="99.75" customHeight="1">
      <c r="A39" s="291"/>
      <c r="B39" s="287"/>
      <c r="C39" s="283" t="s">
        <v>382</v>
      </c>
      <c r="D39" s="35">
        <v>201572400</v>
      </c>
      <c r="E39" s="35">
        <v>201572400</v>
      </c>
      <c r="F39" s="35">
        <f>37860826.66+201417.65</f>
        <v>38062244.309999995</v>
      </c>
      <c r="G39" s="59">
        <f t="shared" si="6"/>
        <v>18.882666629955288</v>
      </c>
      <c r="H39" s="309"/>
    </row>
    <row r="40" spans="1:8" s="17" customFormat="1" ht="51.75" customHeight="1">
      <c r="A40" s="291"/>
      <c r="B40" s="287"/>
      <c r="C40" s="283" t="s">
        <v>383</v>
      </c>
      <c r="D40" s="35">
        <v>20000000</v>
      </c>
      <c r="E40" s="35">
        <v>20000000</v>
      </c>
      <c r="F40" s="35">
        <v>3244748.48</v>
      </c>
      <c r="G40" s="59">
        <f t="shared" si="6"/>
        <v>16.223742399999999</v>
      </c>
      <c r="H40" s="309"/>
    </row>
    <row r="41" spans="1:8" s="17" customFormat="1" ht="54" customHeight="1">
      <c r="A41" s="291"/>
      <c r="B41" s="287"/>
      <c r="C41" s="288" t="s">
        <v>359</v>
      </c>
      <c r="D41" s="35">
        <v>15020800</v>
      </c>
      <c r="E41" s="35">
        <v>15020800</v>
      </c>
      <c r="F41" s="35">
        <v>0</v>
      </c>
      <c r="G41" s="59">
        <f t="shared" si="6"/>
        <v>0</v>
      </c>
      <c r="H41" s="309"/>
    </row>
    <row r="42" spans="1:8" s="17" customFormat="1" ht="20.25">
      <c r="A42" s="291"/>
      <c r="B42" s="286" t="s">
        <v>306</v>
      </c>
      <c r="C42" s="286"/>
      <c r="D42" s="272">
        <f>SUM(D43:D56)</f>
        <v>19342400</v>
      </c>
      <c r="E42" s="272">
        <f t="shared" ref="E42:F42" si="8">SUM(E43:E56)</f>
        <v>19117100</v>
      </c>
      <c r="F42" s="272">
        <f t="shared" si="8"/>
        <v>1679028.2999999998</v>
      </c>
      <c r="G42" s="59">
        <f t="shared" si="6"/>
        <v>8.7828608941732771</v>
      </c>
      <c r="H42" s="309"/>
    </row>
    <row r="43" spans="1:8" s="17" customFormat="1" ht="20.25">
      <c r="A43" s="291"/>
      <c r="B43" s="289"/>
      <c r="C43" s="288" t="s">
        <v>360</v>
      </c>
      <c r="D43" s="87">
        <v>122900</v>
      </c>
      <c r="E43" s="87">
        <v>122900</v>
      </c>
      <c r="F43" s="87">
        <v>0</v>
      </c>
      <c r="G43" s="59">
        <f t="shared" si="6"/>
        <v>0</v>
      </c>
      <c r="H43" s="309"/>
    </row>
    <row r="44" spans="1:8" s="17" customFormat="1" ht="20.25">
      <c r="A44" s="291"/>
      <c r="B44" s="289"/>
      <c r="C44" s="288" t="s">
        <v>361</v>
      </c>
      <c r="D44" s="87">
        <v>297000</v>
      </c>
      <c r="E44" s="87">
        <v>297000</v>
      </c>
      <c r="F44" s="87">
        <v>0</v>
      </c>
      <c r="G44" s="59">
        <f t="shared" si="6"/>
        <v>0</v>
      </c>
      <c r="H44" s="309"/>
    </row>
    <row r="45" spans="1:8" s="17" customFormat="1" ht="273.75" customHeight="1">
      <c r="A45" s="291"/>
      <c r="B45" s="289"/>
      <c r="C45" s="288" t="s">
        <v>380</v>
      </c>
      <c r="D45" s="87">
        <v>9009700</v>
      </c>
      <c r="E45" s="87">
        <v>9009700</v>
      </c>
      <c r="F45" s="87">
        <v>1265301.45</v>
      </c>
      <c r="G45" s="59">
        <f t="shared" si="6"/>
        <v>14.04376893792246</v>
      </c>
      <c r="H45" s="309"/>
    </row>
    <row r="46" spans="1:8" s="17" customFormat="1" ht="142.5" customHeight="1">
      <c r="A46" s="291"/>
      <c r="B46" s="289"/>
      <c r="C46" s="288" t="s">
        <v>362</v>
      </c>
      <c r="D46" s="87">
        <v>594000</v>
      </c>
      <c r="E46" s="87">
        <v>594000</v>
      </c>
      <c r="F46" s="87">
        <v>0</v>
      </c>
      <c r="G46" s="59">
        <f t="shared" si="6"/>
        <v>0</v>
      </c>
      <c r="H46" s="309"/>
    </row>
    <row r="47" spans="1:8" s="17" customFormat="1" ht="110.25">
      <c r="A47" s="291"/>
      <c r="B47" s="289"/>
      <c r="C47" s="288" t="s">
        <v>363</v>
      </c>
      <c r="D47" s="87">
        <v>250000</v>
      </c>
      <c r="E47" s="87">
        <v>250000</v>
      </c>
      <c r="F47" s="87">
        <v>0</v>
      </c>
      <c r="G47" s="59">
        <f t="shared" si="6"/>
        <v>0</v>
      </c>
      <c r="H47" s="309"/>
    </row>
    <row r="48" spans="1:8" s="17" customFormat="1" ht="63">
      <c r="A48" s="291"/>
      <c r="B48" s="289"/>
      <c r="C48" s="288" t="s">
        <v>364</v>
      </c>
      <c r="D48" s="87">
        <v>161100</v>
      </c>
      <c r="E48" s="87">
        <v>161100</v>
      </c>
      <c r="F48" s="87">
        <v>0</v>
      </c>
      <c r="G48" s="59">
        <f t="shared" si="6"/>
        <v>0</v>
      </c>
      <c r="H48" s="309"/>
    </row>
    <row r="49" spans="1:8" s="17" customFormat="1" ht="126">
      <c r="A49" s="291"/>
      <c r="B49" s="289"/>
      <c r="C49" s="288" t="s">
        <v>381</v>
      </c>
      <c r="D49" s="87">
        <v>5719500</v>
      </c>
      <c r="E49" s="87">
        <v>5719500</v>
      </c>
      <c r="F49" s="87">
        <v>383727.85</v>
      </c>
      <c r="G49" s="59">
        <f t="shared" si="6"/>
        <v>6.7091153072821044</v>
      </c>
      <c r="H49" s="309"/>
    </row>
    <row r="50" spans="1:8" s="17" customFormat="1" ht="111" customHeight="1">
      <c r="A50" s="291"/>
      <c r="B50" s="289"/>
      <c r="C50" s="288" t="s">
        <v>365</v>
      </c>
      <c r="D50" s="87">
        <v>320000</v>
      </c>
      <c r="E50" s="87">
        <v>320000</v>
      </c>
      <c r="F50" s="87">
        <v>0</v>
      </c>
      <c r="G50" s="59">
        <f t="shared" si="6"/>
        <v>0</v>
      </c>
      <c r="H50" s="309"/>
    </row>
    <row r="51" spans="1:8" s="17" customFormat="1" ht="110.25">
      <c r="A51" s="291"/>
      <c r="B51" s="289"/>
      <c r="C51" s="288" t="s">
        <v>366</v>
      </c>
      <c r="D51" s="87">
        <v>300000</v>
      </c>
      <c r="E51" s="87">
        <v>300000</v>
      </c>
      <c r="F51" s="87">
        <v>0</v>
      </c>
      <c r="G51" s="59">
        <f t="shared" si="6"/>
        <v>0</v>
      </c>
      <c r="H51" s="309"/>
    </row>
    <row r="52" spans="1:8" s="17" customFormat="1" ht="132" customHeight="1">
      <c r="A52" s="291"/>
      <c r="B52" s="289"/>
      <c r="C52" s="288" t="s">
        <v>367</v>
      </c>
      <c r="D52" s="87">
        <v>390000</v>
      </c>
      <c r="E52" s="87">
        <v>390000</v>
      </c>
      <c r="F52" s="87">
        <v>29999</v>
      </c>
      <c r="G52" s="59">
        <f t="shared" si="6"/>
        <v>7.6920512820512821</v>
      </c>
      <c r="H52" s="309"/>
    </row>
    <row r="53" spans="1:8" s="17" customFormat="1" ht="63.75" customHeight="1">
      <c r="A53" s="291"/>
      <c r="B53" s="289"/>
      <c r="C53" s="288" t="s">
        <v>368</v>
      </c>
      <c r="D53" s="87">
        <v>712200</v>
      </c>
      <c r="E53" s="87">
        <v>712200</v>
      </c>
      <c r="F53" s="87">
        <v>0</v>
      </c>
      <c r="G53" s="59">
        <f t="shared" si="6"/>
        <v>0</v>
      </c>
      <c r="H53" s="309"/>
    </row>
    <row r="54" spans="1:8" s="17" customFormat="1" ht="94.5">
      <c r="A54" s="291"/>
      <c r="B54" s="289"/>
      <c r="C54" s="288" t="s">
        <v>369</v>
      </c>
      <c r="D54" s="87">
        <v>145100</v>
      </c>
      <c r="E54" s="87">
        <v>145100</v>
      </c>
      <c r="F54" s="87">
        <v>0</v>
      </c>
      <c r="G54" s="59">
        <f t="shared" si="6"/>
        <v>0</v>
      </c>
      <c r="H54" s="309"/>
    </row>
    <row r="55" spans="1:8" s="17" customFormat="1" ht="56.25">
      <c r="A55" s="291"/>
      <c r="B55" s="289"/>
      <c r="C55" s="288" t="s">
        <v>370</v>
      </c>
      <c r="D55" s="87">
        <v>530300</v>
      </c>
      <c r="E55" s="87">
        <v>305000</v>
      </c>
      <c r="F55" s="87">
        <v>0</v>
      </c>
      <c r="G55" s="59">
        <f t="shared" si="6"/>
        <v>0</v>
      </c>
      <c r="H55" s="310" t="s">
        <v>413</v>
      </c>
    </row>
    <row r="56" spans="1:8" s="17" customFormat="1" ht="47.25">
      <c r="A56" s="291"/>
      <c r="B56" s="289"/>
      <c r="C56" s="288" t="s">
        <v>371</v>
      </c>
      <c r="D56" s="87">
        <v>790600</v>
      </c>
      <c r="E56" s="87">
        <v>790600</v>
      </c>
      <c r="F56" s="87">
        <v>0</v>
      </c>
      <c r="G56" s="59">
        <f>F56/E56*100</f>
        <v>0</v>
      </c>
      <c r="H56" s="309"/>
    </row>
    <row r="57" spans="1:8" s="17" customFormat="1" ht="63.75" customHeight="1">
      <c r="A57" s="334" t="s">
        <v>398</v>
      </c>
      <c r="B57" s="321" t="s">
        <v>406</v>
      </c>
      <c r="C57" s="322"/>
      <c r="D57" s="94">
        <f>D58+D59</f>
        <v>3849020200</v>
      </c>
      <c r="E57" s="94">
        <f>E58+E59</f>
        <v>3854020200</v>
      </c>
      <c r="F57" s="94">
        <f>F58+F59</f>
        <v>945317343.85000002</v>
      </c>
      <c r="G57" s="94">
        <f>F57/E57*100</f>
        <v>24.528084825554366</v>
      </c>
      <c r="H57" s="49"/>
    </row>
    <row r="58" spans="1:8" s="10" customFormat="1" ht="30.75" customHeight="1">
      <c r="A58" s="335"/>
      <c r="B58" s="292"/>
      <c r="C58" s="319" t="s">
        <v>306</v>
      </c>
      <c r="D58" s="241">
        <f>D62+D111+D149+D177+D212+D213+D215</f>
        <v>2345670800</v>
      </c>
      <c r="E58" s="241">
        <f t="shared" ref="E58:F58" si="9">E62+E111+E149+E177+E212+E213+E215</f>
        <v>2350670800</v>
      </c>
      <c r="F58" s="241">
        <f t="shared" si="9"/>
        <v>615492090.07000005</v>
      </c>
      <c r="G58" s="88">
        <f t="shared" ref="G58:G121" si="10">F58/E58*100</f>
        <v>26.183678721410082</v>
      </c>
      <c r="H58" s="22"/>
    </row>
    <row r="59" spans="1:8" s="10" customFormat="1" ht="29.25" customHeight="1">
      <c r="A59" s="335"/>
      <c r="B59" s="292"/>
      <c r="C59" s="320" t="s">
        <v>307</v>
      </c>
      <c r="D59" s="243">
        <f>D63+D112+D150+D178+D216</f>
        <v>1503349400</v>
      </c>
      <c r="E59" s="243">
        <f t="shared" ref="E59:F59" si="11">E63+E112+E150+E178+E216</f>
        <v>1503349400</v>
      </c>
      <c r="F59" s="243">
        <f t="shared" si="11"/>
        <v>329825253.77999997</v>
      </c>
      <c r="G59" s="88">
        <f t="shared" si="10"/>
        <v>21.939361121240346</v>
      </c>
      <c r="H59" s="22"/>
    </row>
    <row r="60" spans="1:8" s="17" customFormat="1">
      <c r="A60" s="335"/>
      <c r="B60" s="244" t="s">
        <v>12</v>
      </c>
      <c r="C60" s="245"/>
      <c r="D60" s="52"/>
      <c r="E60" s="52"/>
      <c r="F60" s="52"/>
      <c r="G60" s="88"/>
      <c r="H60" s="49"/>
    </row>
    <row r="61" spans="1:8" s="10" customFormat="1" ht="81.75" customHeight="1">
      <c r="A61" s="335"/>
      <c r="B61" s="246" t="s">
        <v>391</v>
      </c>
      <c r="C61" s="247"/>
      <c r="D61" s="88">
        <f>D62+D63</f>
        <v>2424332600</v>
      </c>
      <c r="E61" s="88">
        <f t="shared" ref="E61:F61" si="12">E62+E63</f>
        <v>2424332600</v>
      </c>
      <c r="F61" s="88">
        <f t="shared" si="12"/>
        <v>646553489.72000003</v>
      </c>
      <c r="G61" s="88">
        <f t="shared" si="10"/>
        <v>26.669339418196991</v>
      </c>
      <c r="H61" s="49"/>
    </row>
    <row r="62" spans="1:8" s="10" customFormat="1" ht="20.25">
      <c r="A62" s="335"/>
      <c r="B62" s="323"/>
      <c r="C62" s="240" t="s">
        <v>306</v>
      </c>
      <c r="D62" s="241">
        <f>D64+D65+D67+D69+D72+D80+D81+D82+D83+D85+D88+D89+D90+D91+D71+D92+D94+D96+D98+D100+D102+D104+D107+D93+D95+D97+D99+D101+D103+D105+D106+D108+D109+D84</f>
        <v>1817287500</v>
      </c>
      <c r="E62" s="241">
        <f t="shared" ref="E62:F62" si="13">E64+E65+E67+E69+E72+E80+E81+E82+E83+E85+E88+E89+E90+E91+E71+E92+E94+E96+E98+E100+E102+E104+E107+E93+E95+E97+E99+E101+E103+E105+E106+E108+E109+E84</f>
        <v>1817287500</v>
      </c>
      <c r="F62" s="241">
        <f t="shared" si="13"/>
        <v>466739724.63000005</v>
      </c>
      <c r="G62" s="88">
        <f t="shared" si="10"/>
        <v>25.683317836610886</v>
      </c>
      <c r="H62" s="22"/>
    </row>
    <row r="63" spans="1:8" s="10" customFormat="1" ht="20.25">
      <c r="A63" s="335"/>
      <c r="B63" s="324"/>
      <c r="C63" s="242" t="s">
        <v>307</v>
      </c>
      <c r="D63" s="243">
        <f>D68+D73+D75+D77+D79+D87</f>
        <v>607045100</v>
      </c>
      <c r="E63" s="243">
        <f t="shared" ref="E63:F63" si="14">E68+E73+E75+E77+E79+E87</f>
        <v>607045100</v>
      </c>
      <c r="F63" s="243">
        <f t="shared" si="14"/>
        <v>179813765.09</v>
      </c>
      <c r="G63" s="88">
        <f t="shared" si="10"/>
        <v>29.621154192662125</v>
      </c>
      <c r="H63" s="22"/>
    </row>
    <row r="64" spans="1:8" s="10" customFormat="1" ht="51" customHeight="1">
      <c r="A64" s="335"/>
      <c r="B64" s="131" t="s">
        <v>135</v>
      </c>
      <c r="C64" s="126" t="s">
        <v>128</v>
      </c>
      <c r="D64" s="87">
        <v>98749900</v>
      </c>
      <c r="E64" s="87">
        <v>98749900</v>
      </c>
      <c r="F64" s="87">
        <f>1852.78+25527560.48</f>
        <v>25529413.260000002</v>
      </c>
      <c r="G64" s="88">
        <f t="shared" si="10"/>
        <v>25.852596569718045</v>
      </c>
      <c r="H64" s="49"/>
    </row>
    <row r="65" spans="1:8" s="10" customFormat="1" ht="75" hidden="1" customHeight="1">
      <c r="A65" s="335"/>
      <c r="B65" s="132"/>
      <c r="C65" s="126" t="s">
        <v>308</v>
      </c>
      <c r="D65" s="87"/>
      <c r="E65" s="87"/>
      <c r="F65" s="87"/>
      <c r="G65" s="88"/>
      <c r="H65" s="49"/>
    </row>
    <row r="66" spans="1:8" s="10" customFormat="1" ht="124.5" customHeight="1">
      <c r="A66" s="335"/>
      <c r="B66" s="132"/>
      <c r="C66" s="248" t="s">
        <v>31</v>
      </c>
      <c r="D66" s="35">
        <f>D67+D68</f>
        <v>109900</v>
      </c>
      <c r="E66" s="35">
        <f>E67+E68</f>
        <v>109900</v>
      </c>
      <c r="F66" s="35">
        <f>F67+F68</f>
        <v>15799.92</v>
      </c>
      <c r="G66" s="88">
        <f t="shared" si="10"/>
        <v>14.37663330300273</v>
      </c>
      <c r="H66" s="22"/>
    </row>
    <row r="67" spans="1:8" s="10" customFormat="1" ht="20.25">
      <c r="A67" s="335"/>
      <c r="B67" s="132"/>
      <c r="C67" s="240" t="s">
        <v>306</v>
      </c>
      <c r="D67" s="241">
        <v>63000</v>
      </c>
      <c r="E67" s="241">
        <v>63000</v>
      </c>
      <c r="F67" s="241">
        <v>0</v>
      </c>
      <c r="G67" s="88">
        <f t="shared" si="10"/>
        <v>0</v>
      </c>
      <c r="H67" s="22"/>
    </row>
    <row r="68" spans="1:8" s="10" customFormat="1" ht="20.25">
      <c r="A68" s="335"/>
      <c r="B68" s="132"/>
      <c r="C68" s="242" t="s">
        <v>307</v>
      </c>
      <c r="D68" s="243">
        <v>46900</v>
      </c>
      <c r="E68" s="243">
        <v>46900</v>
      </c>
      <c r="F68" s="243">
        <v>15799.92</v>
      </c>
      <c r="G68" s="88">
        <f t="shared" si="10"/>
        <v>33.688528784648184</v>
      </c>
      <c r="H68" s="22"/>
    </row>
    <row r="69" spans="1:8" s="10" customFormat="1" ht="37.5">
      <c r="A69" s="335"/>
      <c r="B69" s="132"/>
      <c r="C69" s="126" t="s">
        <v>11</v>
      </c>
      <c r="D69" s="35">
        <v>1943000</v>
      </c>
      <c r="E69" s="87">
        <f>109800+1833200</f>
        <v>1943000</v>
      </c>
      <c r="F69" s="55">
        <f>18330+49129.09</f>
        <v>67459.09</v>
      </c>
      <c r="G69" s="88">
        <f t="shared" si="10"/>
        <v>3.4719037570766851</v>
      </c>
      <c r="H69" s="49"/>
    </row>
    <row r="70" spans="1:8" s="10" customFormat="1" ht="102.75" customHeight="1">
      <c r="A70" s="335"/>
      <c r="B70" s="132"/>
      <c r="C70" s="248" t="s">
        <v>21</v>
      </c>
      <c r="D70" s="87">
        <f>D72+D73+D71</f>
        <v>4846200</v>
      </c>
      <c r="E70" s="87">
        <f>E72+E73+E71</f>
        <v>4846200</v>
      </c>
      <c r="F70" s="87">
        <f>F72+F73+F71</f>
        <v>1481768.9000000001</v>
      </c>
      <c r="G70" s="88">
        <f t="shared" si="10"/>
        <v>30.575892451817921</v>
      </c>
      <c r="H70" s="22"/>
    </row>
    <row r="71" spans="1:8" s="10" customFormat="1" ht="51.75" customHeight="1">
      <c r="A71" s="335"/>
      <c r="B71" s="132"/>
      <c r="C71" s="240" t="s">
        <v>309</v>
      </c>
      <c r="D71" s="241">
        <v>1886070</v>
      </c>
      <c r="E71" s="241">
        <v>1886070</v>
      </c>
      <c r="F71" s="241">
        <v>1847.28</v>
      </c>
      <c r="G71" s="88">
        <f t="shared" si="10"/>
        <v>9.7943342505845479E-2</v>
      </c>
      <c r="H71" s="22"/>
    </row>
    <row r="72" spans="1:8" s="10" customFormat="1" ht="40.5">
      <c r="A72" s="335"/>
      <c r="B72" s="132"/>
      <c r="C72" s="240" t="s">
        <v>310</v>
      </c>
      <c r="D72" s="241">
        <v>680830</v>
      </c>
      <c r="E72" s="241">
        <v>680830</v>
      </c>
      <c r="F72" s="241">
        <v>340271.62</v>
      </c>
      <c r="G72" s="88">
        <f t="shared" si="10"/>
        <v>49.978940410968967</v>
      </c>
      <c r="H72" s="22"/>
    </row>
    <row r="73" spans="1:8" s="10" customFormat="1" ht="20.25">
      <c r="A73" s="335"/>
      <c r="B73" s="132"/>
      <c r="C73" s="242" t="s">
        <v>307</v>
      </c>
      <c r="D73" s="243">
        <v>2279300</v>
      </c>
      <c r="E73" s="243">
        <v>2279300</v>
      </c>
      <c r="F73" s="243">
        <v>1139650</v>
      </c>
      <c r="G73" s="88">
        <f t="shared" si="10"/>
        <v>50</v>
      </c>
      <c r="H73" s="22"/>
    </row>
    <row r="74" spans="1:8" s="10" customFormat="1" ht="37.5">
      <c r="A74" s="335"/>
      <c r="B74" s="132"/>
      <c r="C74" s="7" t="s">
        <v>28</v>
      </c>
      <c r="D74" s="87">
        <f>D75</f>
        <v>11887800</v>
      </c>
      <c r="E74" s="87">
        <f>E75</f>
        <v>11887800</v>
      </c>
      <c r="F74" s="87">
        <f>F75</f>
        <v>2696644.93</v>
      </c>
      <c r="G74" s="88">
        <f t="shared" si="10"/>
        <v>22.684137771496829</v>
      </c>
      <c r="H74" s="22"/>
    </row>
    <row r="75" spans="1:8" s="10" customFormat="1" ht="20.25">
      <c r="A75" s="335"/>
      <c r="B75" s="132"/>
      <c r="C75" s="242" t="s">
        <v>307</v>
      </c>
      <c r="D75" s="243">
        <v>11887800</v>
      </c>
      <c r="E75" s="243">
        <v>11887800</v>
      </c>
      <c r="F75" s="243">
        <f>1162.56+2695482.37</f>
        <v>2696644.93</v>
      </c>
      <c r="G75" s="88">
        <f t="shared" si="10"/>
        <v>22.684137771496829</v>
      </c>
      <c r="H75" s="282"/>
    </row>
    <row r="76" spans="1:8" s="10" customFormat="1" ht="56.25">
      <c r="A76" s="335"/>
      <c r="B76" s="132"/>
      <c r="C76" s="250" t="s">
        <v>30</v>
      </c>
      <c r="D76" s="86">
        <f>D77</f>
        <v>317167100</v>
      </c>
      <c r="E76" s="86">
        <f>E77</f>
        <v>317167100</v>
      </c>
      <c r="F76" s="86">
        <f>F77</f>
        <v>93282292.319999993</v>
      </c>
      <c r="G76" s="88">
        <f t="shared" si="10"/>
        <v>29.411087190317026</v>
      </c>
      <c r="H76" s="22"/>
    </row>
    <row r="77" spans="1:8" s="10" customFormat="1" ht="20.25">
      <c r="A77" s="335"/>
      <c r="B77" s="132"/>
      <c r="C77" s="242" t="s">
        <v>307</v>
      </c>
      <c r="D77" s="251">
        <f>4700000+312467100</f>
        <v>317167100</v>
      </c>
      <c r="E77" s="251">
        <f>4700000+312467100</f>
        <v>317167100</v>
      </c>
      <c r="F77" s="251">
        <f>995592.32+92286700</f>
        <v>93282292.319999993</v>
      </c>
      <c r="G77" s="88">
        <f t="shared" si="10"/>
        <v>29.411087190317026</v>
      </c>
      <c r="H77" s="282"/>
    </row>
    <row r="78" spans="1:8" s="10" customFormat="1" ht="56.25">
      <c r="A78" s="335"/>
      <c r="B78" s="132"/>
      <c r="C78" s="250" t="s">
        <v>129</v>
      </c>
      <c r="D78" s="86">
        <f>D79</f>
        <v>230910200</v>
      </c>
      <c r="E78" s="86">
        <f>E79</f>
        <v>230910200</v>
      </c>
      <c r="F78" s="86">
        <f>F79</f>
        <v>38999507.68</v>
      </c>
      <c r="G78" s="88">
        <f t="shared" si="10"/>
        <v>16.889469447430212</v>
      </c>
      <c r="H78" s="22"/>
    </row>
    <row r="79" spans="1:8" s="10" customFormat="1" ht="20.25">
      <c r="A79" s="335"/>
      <c r="B79" s="132"/>
      <c r="C79" s="242" t="s">
        <v>307</v>
      </c>
      <c r="D79" s="251">
        <v>230910200</v>
      </c>
      <c r="E79" s="251">
        <v>230910200</v>
      </c>
      <c r="F79" s="251">
        <v>38999507.68</v>
      </c>
      <c r="G79" s="88">
        <f t="shared" si="10"/>
        <v>16.889469447430212</v>
      </c>
      <c r="H79" s="22"/>
    </row>
    <row r="80" spans="1:8" s="10" customFormat="1" ht="108.75" customHeight="1">
      <c r="A80" s="335"/>
      <c r="B80" s="132"/>
      <c r="C80" s="252" t="s">
        <v>130</v>
      </c>
      <c r="D80" s="86">
        <v>390000</v>
      </c>
      <c r="E80" s="86">
        <v>390000</v>
      </c>
      <c r="F80" s="72">
        <v>0</v>
      </c>
      <c r="G80" s="88">
        <f t="shared" si="10"/>
        <v>0</v>
      </c>
      <c r="H80" s="22"/>
    </row>
    <row r="81" spans="1:8" s="10" customFormat="1" ht="56.25" hidden="1" customHeight="1">
      <c r="A81" s="335"/>
      <c r="B81" s="132"/>
      <c r="C81" s="250" t="s">
        <v>399</v>
      </c>
      <c r="D81" s="86"/>
      <c r="E81" s="86"/>
      <c r="F81" s="72">
        <v>0</v>
      </c>
      <c r="G81" s="88" t="e">
        <f t="shared" si="10"/>
        <v>#DIV/0!</v>
      </c>
      <c r="H81" s="22"/>
    </row>
    <row r="82" spans="1:8" s="10" customFormat="1" ht="37.5">
      <c r="A82" s="335"/>
      <c r="B82" s="132"/>
      <c r="C82" s="250" t="s">
        <v>311</v>
      </c>
      <c r="D82" s="36">
        <v>272400</v>
      </c>
      <c r="E82" s="36">
        <v>272400</v>
      </c>
      <c r="F82" s="72">
        <v>0</v>
      </c>
      <c r="G82" s="88">
        <f>F82/E82*100</f>
        <v>0</v>
      </c>
      <c r="H82" s="22"/>
    </row>
    <row r="83" spans="1:8" s="10" customFormat="1" ht="101.25" customHeight="1">
      <c r="A83" s="335"/>
      <c r="B83" s="132"/>
      <c r="C83" s="252" t="s">
        <v>134</v>
      </c>
      <c r="D83" s="36">
        <v>2090900</v>
      </c>
      <c r="E83" s="86">
        <v>2090900</v>
      </c>
      <c r="F83" s="86">
        <v>0</v>
      </c>
      <c r="G83" s="88">
        <f t="shared" si="10"/>
        <v>0</v>
      </c>
      <c r="H83" s="22"/>
    </row>
    <row r="84" spans="1:8" s="10" customFormat="1" ht="101.25" customHeight="1">
      <c r="A84" s="335"/>
      <c r="B84" s="132"/>
      <c r="C84" s="252" t="s">
        <v>312</v>
      </c>
      <c r="D84" s="36">
        <v>569100</v>
      </c>
      <c r="E84" s="86">
        <v>569100</v>
      </c>
      <c r="F84" s="72">
        <v>20000</v>
      </c>
      <c r="G84" s="88">
        <f t="shared" si="10"/>
        <v>3.5143208574942895</v>
      </c>
      <c r="H84" s="22"/>
    </row>
    <row r="85" spans="1:8" s="10" customFormat="1" ht="93.75">
      <c r="A85" s="335"/>
      <c r="B85" s="132"/>
      <c r="C85" s="252" t="s">
        <v>143</v>
      </c>
      <c r="D85" s="36">
        <v>200000</v>
      </c>
      <c r="E85" s="86">
        <v>200000</v>
      </c>
      <c r="F85" s="72">
        <v>48960</v>
      </c>
      <c r="G85" s="88">
        <f t="shared" si="10"/>
        <v>24.48</v>
      </c>
      <c r="H85" s="22"/>
    </row>
    <row r="86" spans="1:8" s="10" customFormat="1" ht="56.25">
      <c r="A86" s="335"/>
      <c r="B86" s="132"/>
      <c r="C86" s="250" t="s">
        <v>29</v>
      </c>
      <c r="D86" s="36">
        <f>D87</f>
        <v>44753800</v>
      </c>
      <c r="E86" s="36">
        <f>E87</f>
        <v>44753800</v>
      </c>
      <c r="F86" s="36">
        <f>F87</f>
        <v>43679870.240000002</v>
      </c>
      <c r="G86" s="88">
        <f t="shared" si="10"/>
        <v>97.600360729144796</v>
      </c>
      <c r="H86" s="22"/>
    </row>
    <row r="87" spans="1:8" s="10" customFormat="1" ht="20.25">
      <c r="A87" s="335"/>
      <c r="B87" s="132"/>
      <c r="C87" s="253" t="s">
        <v>307</v>
      </c>
      <c r="D87" s="251">
        <v>44753800</v>
      </c>
      <c r="E87" s="251">
        <v>44753800</v>
      </c>
      <c r="F87" s="251">
        <v>43679870.240000002</v>
      </c>
      <c r="G87" s="88">
        <f t="shared" si="10"/>
        <v>97.600360729144796</v>
      </c>
      <c r="H87" s="22"/>
    </row>
    <row r="88" spans="1:8" s="10" customFormat="1" ht="37.5" hidden="1" customHeight="1">
      <c r="A88" s="335"/>
      <c r="B88" s="132"/>
      <c r="C88" s="254" t="s">
        <v>313</v>
      </c>
      <c r="D88" s="255"/>
      <c r="E88" s="255"/>
      <c r="F88" s="72">
        <v>0</v>
      </c>
      <c r="G88" s="88" t="e">
        <f t="shared" si="10"/>
        <v>#DIV/0!</v>
      </c>
      <c r="H88" s="22"/>
    </row>
    <row r="89" spans="1:8" s="10" customFormat="1" ht="93.75" hidden="1" customHeight="1">
      <c r="A89" s="335"/>
      <c r="B89" s="132"/>
      <c r="C89" s="250" t="s">
        <v>195</v>
      </c>
      <c r="D89" s="36">
        <v>0</v>
      </c>
      <c r="E89" s="72">
        <v>0</v>
      </c>
      <c r="F89" s="72">
        <v>0</v>
      </c>
      <c r="G89" s="88" t="e">
        <f t="shared" si="10"/>
        <v>#DIV/0!</v>
      </c>
      <c r="H89" s="22"/>
    </row>
    <row r="90" spans="1:8" s="10" customFormat="1" ht="112.5" hidden="1" customHeight="1">
      <c r="A90" s="335"/>
      <c r="B90" s="132"/>
      <c r="C90" s="252" t="s">
        <v>196</v>
      </c>
      <c r="D90" s="36">
        <v>0</v>
      </c>
      <c r="E90" s="72">
        <v>0</v>
      </c>
      <c r="F90" s="72">
        <v>0</v>
      </c>
      <c r="G90" s="88" t="e">
        <f t="shared" si="10"/>
        <v>#DIV/0!</v>
      </c>
      <c r="H90" s="22"/>
    </row>
    <row r="91" spans="1:8" s="10" customFormat="1" ht="93.75">
      <c r="A91" s="335"/>
      <c r="B91" s="132"/>
      <c r="C91" s="252" t="s">
        <v>314</v>
      </c>
      <c r="D91" s="36">
        <v>510000</v>
      </c>
      <c r="E91" s="36">
        <v>510000</v>
      </c>
      <c r="F91" s="72">
        <v>0</v>
      </c>
      <c r="G91" s="88">
        <f t="shared" si="10"/>
        <v>0</v>
      </c>
      <c r="H91" s="22"/>
    </row>
    <row r="92" spans="1:8" s="10" customFormat="1" ht="75">
      <c r="A92" s="335"/>
      <c r="B92" s="132"/>
      <c r="C92" s="252" t="s">
        <v>315</v>
      </c>
      <c r="D92" s="36">
        <v>3415000</v>
      </c>
      <c r="E92" s="36">
        <v>3415000</v>
      </c>
      <c r="F92" s="72">
        <v>131301.54999999999</v>
      </c>
      <c r="G92" s="88">
        <f t="shared" si="10"/>
        <v>3.8448477306002928</v>
      </c>
      <c r="H92" s="22"/>
    </row>
    <row r="93" spans="1:8" s="10" customFormat="1" ht="93.75">
      <c r="A93" s="335"/>
      <c r="B93" s="132"/>
      <c r="C93" s="256" t="s">
        <v>316</v>
      </c>
      <c r="D93" s="36">
        <v>1575800</v>
      </c>
      <c r="E93" s="36">
        <v>1575800</v>
      </c>
      <c r="F93" s="72">
        <v>344000</v>
      </c>
      <c r="G93" s="88">
        <f t="shared" si="10"/>
        <v>21.830181495113592</v>
      </c>
      <c r="H93" s="22"/>
    </row>
    <row r="94" spans="1:8" s="10" customFormat="1" ht="75">
      <c r="A94" s="335"/>
      <c r="B94" s="132"/>
      <c r="C94" s="256" t="s">
        <v>317</v>
      </c>
      <c r="D94" s="36">
        <f>50000+6655300+50000</f>
        <v>6755300</v>
      </c>
      <c r="E94" s="36">
        <f>50000+6655300+50000</f>
        <v>6755300</v>
      </c>
      <c r="F94" s="72">
        <f>1006820.07+5701.31</f>
        <v>1012521.38</v>
      </c>
      <c r="G94" s="88">
        <f t="shared" si="10"/>
        <v>14.988547954939085</v>
      </c>
      <c r="H94" s="22"/>
    </row>
    <row r="95" spans="1:8" s="10" customFormat="1" ht="112.5">
      <c r="A95" s="335"/>
      <c r="B95" s="132"/>
      <c r="C95" s="256" t="s">
        <v>318</v>
      </c>
      <c r="D95" s="36">
        <v>47960900</v>
      </c>
      <c r="E95" s="36">
        <v>47960900</v>
      </c>
      <c r="F95" s="72">
        <v>11919500</v>
      </c>
      <c r="G95" s="88">
        <f t="shared" si="10"/>
        <v>24.852536128387918</v>
      </c>
      <c r="H95" s="22"/>
    </row>
    <row r="96" spans="1:8" s="10" customFormat="1" ht="93.75">
      <c r="A96" s="335"/>
      <c r="B96" s="132"/>
      <c r="C96" s="256" t="s">
        <v>319</v>
      </c>
      <c r="D96" s="36">
        <f>62658600+1300000</f>
        <v>63958600</v>
      </c>
      <c r="E96" s="36">
        <f>62658600+1300000</f>
        <v>63958600</v>
      </c>
      <c r="F96" s="72">
        <f>2491.55+14736118.1+50535</f>
        <v>14789144.65</v>
      </c>
      <c r="G96" s="88">
        <f t="shared" si="10"/>
        <v>23.12299620379433</v>
      </c>
      <c r="H96" s="22"/>
    </row>
    <row r="97" spans="1:8" s="10" customFormat="1" ht="75">
      <c r="A97" s="335"/>
      <c r="B97" s="132"/>
      <c r="C97" s="256" t="s">
        <v>320</v>
      </c>
      <c r="D97" s="36">
        <v>405850300</v>
      </c>
      <c r="E97" s="36">
        <v>405850300</v>
      </c>
      <c r="F97" s="72">
        <v>90755000</v>
      </c>
      <c r="G97" s="88">
        <f t="shared" si="10"/>
        <v>22.361693461850344</v>
      </c>
      <c r="H97" s="22"/>
    </row>
    <row r="98" spans="1:8" s="10" customFormat="1" ht="56.25">
      <c r="A98" s="335"/>
      <c r="B98" s="132"/>
      <c r="C98" s="256" t="s">
        <v>321</v>
      </c>
      <c r="D98" s="36">
        <f>3900000+518732900</f>
        <v>522632900</v>
      </c>
      <c r="E98" s="36">
        <f>3900000+518732900</f>
        <v>522632900</v>
      </c>
      <c r="F98" s="72">
        <f>1212273.46+137722799.07</f>
        <v>138935072.53</v>
      </c>
      <c r="G98" s="88">
        <f t="shared" si="10"/>
        <v>26.583682835504614</v>
      </c>
      <c r="H98" s="22"/>
    </row>
    <row r="99" spans="1:8" s="10" customFormat="1" ht="75">
      <c r="A99" s="335"/>
      <c r="B99" s="132"/>
      <c r="C99" s="256" t="s">
        <v>322</v>
      </c>
      <c r="D99" s="36">
        <v>1675300</v>
      </c>
      <c r="E99" s="36">
        <v>1675300</v>
      </c>
      <c r="F99" s="72">
        <v>390000</v>
      </c>
      <c r="G99" s="88">
        <f t="shared" si="10"/>
        <v>23.279412642511787</v>
      </c>
      <c r="H99" s="22"/>
    </row>
    <row r="100" spans="1:8" s="10" customFormat="1" ht="37.5">
      <c r="A100" s="335"/>
      <c r="B100" s="132"/>
      <c r="C100" s="256" t="s">
        <v>323</v>
      </c>
      <c r="D100" s="36">
        <f>150000+9755800</f>
        <v>9905800</v>
      </c>
      <c r="E100" s="36">
        <f>150000+9755800</f>
        <v>9905800</v>
      </c>
      <c r="F100" s="72">
        <f>35571.9+2168007.5</f>
        <v>2203579.4</v>
      </c>
      <c r="G100" s="88">
        <f t="shared" si="10"/>
        <v>22.245345151325484</v>
      </c>
      <c r="H100" s="22"/>
    </row>
    <row r="101" spans="1:8" s="10" customFormat="1" ht="93.75">
      <c r="A101" s="335"/>
      <c r="B101" s="132"/>
      <c r="C101" s="256" t="s">
        <v>324</v>
      </c>
      <c r="D101" s="36">
        <v>13302400</v>
      </c>
      <c r="E101" s="36">
        <v>13302400</v>
      </c>
      <c r="F101" s="72">
        <v>3480000</v>
      </c>
      <c r="G101" s="88">
        <f t="shared" si="10"/>
        <v>26.160692807312969</v>
      </c>
      <c r="H101" s="22"/>
    </row>
    <row r="102" spans="1:8" s="10" customFormat="1" ht="75">
      <c r="A102" s="335"/>
      <c r="B102" s="132"/>
      <c r="C102" s="256" t="s">
        <v>325</v>
      </c>
      <c r="D102" s="36">
        <f>14566200</f>
        <v>14566200</v>
      </c>
      <c r="E102" s="36">
        <f>14566200</f>
        <v>14566200</v>
      </c>
      <c r="F102" s="72">
        <f>36065.2+3539329.49</f>
        <v>3575394.6900000004</v>
      </c>
      <c r="G102" s="88">
        <f t="shared" si="10"/>
        <v>24.545830003707213</v>
      </c>
      <c r="H102" s="22"/>
    </row>
    <row r="103" spans="1:8" s="10" customFormat="1" ht="75">
      <c r="A103" s="335"/>
      <c r="B103" s="132"/>
      <c r="C103" s="256" t="s">
        <v>326</v>
      </c>
      <c r="D103" s="36">
        <v>223914100</v>
      </c>
      <c r="E103" s="36">
        <v>223914100</v>
      </c>
      <c r="F103" s="72">
        <v>67345000</v>
      </c>
      <c r="G103" s="88">
        <f t="shared" si="10"/>
        <v>30.076265853735872</v>
      </c>
      <c r="H103" s="22"/>
    </row>
    <row r="104" spans="1:8" s="10" customFormat="1" ht="56.25">
      <c r="A104" s="335"/>
      <c r="B104" s="132"/>
      <c r="C104" s="256" t="s">
        <v>327</v>
      </c>
      <c r="D104" s="36">
        <f>2300000+357334200</f>
        <v>359634200</v>
      </c>
      <c r="E104" s="36">
        <f>2300000+357334200</f>
        <v>359634200</v>
      </c>
      <c r="F104" s="72">
        <f>738814.94+95893149.33</f>
        <v>96631964.269999996</v>
      </c>
      <c r="G104" s="88">
        <f t="shared" si="10"/>
        <v>26.869514709668881</v>
      </c>
      <c r="H104" s="22"/>
    </row>
    <row r="105" spans="1:8" s="10" customFormat="1" ht="93.75">
      <c r="A105" s="335"/>
      <c r="B105" s="132"/>
      <c r="C105" s="256" t="s">
        <v>328</v>
      </c>
      <c r="D105" s="36">
        <f>82600+34426800</f>
        <v>34509400</v>
      </c>
      <c r="E105" s="36">
        <f>82600+34426800</f>
        <v>34509400</v>
      </c>
      <c r="F105" s="72">
        <f>31581.21+9128260.7</f>
        <v>9159841.9100000001</v>
      </c>
      <c r="G105" s="88">
        <f t="shared" si="10"/>
        <v>26.543034390629799</v>
      </c>
      <c r="H105" s="22"/>
    </row>
    <row r="106" spans="1:8" s="10" customFormat="1" ht="75">
      <c r="A106" s="335"/>
      <c r="B106" s="132"/>
      <c r="C106" s="256" t="s">
        <v>329</v>
      </c>
      <c r="D106" s="36">
        <v>220900</v>
      </c>
      <c r="E106" s="36">
        <v>220900</v>
      </c>
      <c r="F106" s="72">
        <v>46000</v>
      </c>
      <c r="G106" s="88">
        <f t="shared" si="10"/>
        <v>20.823902218198278</v>
      </c>
      <c r="H106" s="22"/>
    </row>
    <row r="107" spans="1:8" s="10" customFormat="1" ht="56.25">
      <c r="A107" s="335"/>
      <c r="B107" s="132"/>
      <c r="C107" s="256" t="s">
        <v>330</v>
      </c>
      <c r="D107" s="36">
        <v>55200</v>
      </c>
      <c r="E107" s="36">
        <v>55200</v>
      </c>
      <c r="F107" s="72">
        <v>13453</v>
      </c>
      <c r="G107" s="88">
        <f t="shared" si="10"/>
        <v>24.371376811594203</v>
      </c>
      <c r="H107" s="22"/>
    </row>
    <row r="108" spans="1:8" s="10" customFormat="1" ht="18.75" hidden="1" customHeight="1">
      <c r="A108" s="335"/>
      <c r="B108" s="132"/>
      <c r="C108" s="256"/>
      <c r="D108" s="36"/>
      <c r="E108" s="36"/>
      <c r="F108" s="72"/>
      <c r="G108" s="88" t="e">
        <f t="shared" si="10"/>
        <v>#DIV/0!</v>
      </c>
      <c r="H108" s="22"/>
    </row>
    <row r="109" spans="1:8" s="10" customFormat="1" ht="18.75" hidden="1" customHeight="1">
      <c r="A109" s="335"/>
      <c r="B109" s="133"/>
      <c r="C109" s="257"/>
      <c r="D109" s="36"/>
      <c r="E109" s="72"/>
      <c r="F109" s="72"/>
      <c r="G109" s="88" t="e">
        <f t="shared" si="10"/>
        <v>#DIV/0!</v>
      </c>
      <c r="H109" s="22"/>
    </row>
    <row r="110" spans="1:8" s="10" customFormat="1" ht="61.5" customHeight="1">
      <c r="A110" s="335"/>
      <c r="B110" s="258" t="s">
        <v>412</v>
      </c>
      <c r="C110" s="259"/>
      <c r="D110" s="53">
        <f>D111+D112</f>
        <v>1945000</v>
      </c>
      <c r="E110" s="53">
        <f>E111+E112</f>
        <v>1945000</v>
      </c>
      <c r="F110" s="53">
        <f>F111+F112</f>
        <v>304470</v>
      </c>
      <c r="G110" s="88">
        <f t="shared" si="10"/>
        <v>15.653984575835475</v>
      </c>
      <c r="H110" s="88"/>
    </row>
    <row r="111" spans="1:8" s="10" customFormat="1" ht="20.25">
      <c r="A111" s="335"/>
      <c r="B111" s="260"/>
      <c r="C111" s="240" t="s">
        <v>306</v>
      </c>
      <c r="D111" s="241">
        <f>D114+D117+D119+D120+D122+D125+D128+D130+D131+D132+D133+D134+D135+D137+D140+D143+D146</f>
        <v>1945000</v>
      </c>
      <c r="E111" s="241">
        <f>E114+E117+E119+E120+E122+E125+E128+E130+E131+E132+E133+E134+E135+E137+E140+E143+E146</f>
        <v>1945000</v>
      </c>
      <c r="F111" s="241">
        <f>F114+F117+F119+F120+F122+F125+F128+F130+F131+F132+F133+F134+F135+F137+F140+F143+F146</f>
        <v>304470</v>
      </c>
      <c r="G111" s="88">
        <f t="shared" si="10"/>
        <v>15.653984575835475</v>
      </c>
      <c r="H111" s="249"/>
    </row>
    <row r="112" spans="1:8" s="10" customFormat="1" ht="20.25">
      <c r="A112" s="335"/>
      <c r="B112" s="260"/>
      <c r="C112" s="242" t="s">
        <v>307</v>
      </c>
      <c r="D112" s="243">
        <f>D115+D123+D126+D129+D138+D141+D144+D147+D118</f>
        <v>0</v>
      </c>
      <c r="E112" s="243">
        <f>E115+E123+E126+E129+E138+E141+E144+E147+E118</f>
        <v>0</v>
      </c>
      <c r="F112" s="243">
        <f>F115+F123+F126+F129+F138+F141+F144+F147+F118</f>
        <v>0</v>
      </c>
      <c r="G112" s="88" t="e">
        <f t="shared" si="10"/>
        <v>#DIV/0!</v>
      </c>
      <c r="H112" s="311"/>
    </row>
    <row r="113" spans="1:8" s="10" customFormat="1" ht="293.25" customHeight="1">
      <c r="A113" s="335"/>
      <c r="B113" s="261" t="s">
        <v>12</v>
      </c>
      <c r="C113" s="262" t="s">
        <v>146</v>
      </c>
      <c r="D113" s="35">
        <f>D114+D115</f>
        <v>156800</v>
      </c>
      <c r="E113" s="35">
        <f>E114+E115</f>
        <v>156800</v>
      </c>
      <c r="F113" s="35">
        <f>F114+F115</f>
        <v>0</v>
      </c>
      <c r="G113" s="88">
        <f t="shared" si="10"/>
        <v>0</v>
      </c>
      <c r="H113" s="313" t="s">
        <v>405</v>
      </c>
    </row>
    <row r="114" spans="1:8" s="10" customFormat="1" ht="20.25" hidden="1" customHeight="1">
      <c r="A114" s="335"/>
      <c r="B114" s="263"/>
      <c r="C114" s="240" t="s">
        <v>401</v>
      </c>
      <c r="D114" s="241">
        <v>156800</v>
      </c>
      <c r="E114" s="241">
        <v>156800</v>
      </c>
      <c r="F114" s="241">
        <v>0</v>
      </c>
      <c r="G114" s="88">
        <f t="shared" si="10"/>
        <v>0</v>
      </c>
      <c r="H114" s="22"/>
    </row>
    <row r="115" spans="1:8" s="10" customFormat="1" ht="20.25" hidden="1" customHeight="1">
      <c r="A115" s="335"/>
      <c r="B115" s="263"/>
      <c r="C115" s="242" t="s">
        <v>307</v>
      </c>
      <c r="D115" s="243">
        <v>0</v>
      </c>
      <c r="E115" s="243">
        <v>0</v>
      </c>
      <c r="F115" s="243">
        <v>0</v>
      </c>
      <c r="G115" s="88" t="e">
        <f t="shared" si="10"/>
        <v>#DIV/0!</v>
      </c>
      <c r="H115" s="22"/>
    </row>
    <row r="116" spans="1:8" s="10" customFormat="1" ht="287.25" customHeight="1">
      <c r="A116" s="335"/>
      <c r="B116" s="263"/>
      <c r="C116" s="262" t="s">
        <v>148</v>
      </c>
      <c r="D116" s="35">
        <f>D117+D118</f>
        <v>52300</v>
      </c>
      <c r="E116" s="87">
        <f>E117+E118</f>
        <v>52300</v>
      </c>
      <c r="F116" s="35">
        <f>F117+F118</f>
        <v>0</v>
      </c>
      <c r="G116" s="88">
        <f t="shared" si="10"/>
        <v>0</v>
      </c>
      <c r="H116" s="87"/>
    </row>
    <row r="117" spans="1:8" s="10" customFormat="1" ht="20.25" hidden="1" customHeight="1">
      <c r="A117" s="335"/>
      <c r="B117" s="263"/>
      <c r="C117" s="240" t="s">
        <v>306</v>
      </c>
      <c r="D117" s="241">
        <v>52300</v>
      </c>
      <c r="E117" s="241">
        <v>52300</v>
      </c>
      <c r="F117" s="241">
        <v>0</v>
      </c>
      <c r="G117" s="88">
        <f t="shared" si="10"/>
        <v>0</v>
      </c>
      <c r="H117" s="22"/>
    </row>
    <row r="118" spans="1:8" s="10" customFormat="1" ht="20.25" hidden="1" customHeight="1">
      <c r="A118" s="335"/>
      <c r="B118" s="263"/>
      <c r="C118" s="242" t="s">
        <v>307</v>
      </c>
      <c r="D118" s="243">
        <v>0</v>
      </c>
      <c r="E118" s="243">
        <v>0</v>
      </c>
      <c r="F118" s="243">
        <v>0</v>
      </c>
      <c r="G118" s="88" t="e">
        <f t="shared" si="10"/>
        <v>#DIV/0!</v>
      </c>
      <c r="H118" s="22"/>
    </row>
    <row r="119" spans="1:8" s="10" customFormat="1" ht="75" hidden="1" customHeight="1">
      <c r="A119" s="335"/>
      <c r="B119" s="263"/>
      <c r="C119" s="264" t="s">
        <v>151</v>
      </c>
      <c r="D119" s="35">
        <v>0</v>
      </c>
      <c r="E119" s="55">
        <v>0</v>
      </c>
      <c r="F119" s="55">
        <f>E119-D119</f>
        <v>0</v>
      </c>
      <c r="G119" s="88" t="e">
        <f t="shared" si="10"/>
        <v>#DIV/0!</v>
      </c>
      <c r="H119" s="312"/>
    </row>
    <row r="120" spans="1:8" s="10" customFormat="1" ht="131.25" hidden="1" customHeight="1">
      <c r="A120" s="335"/>
      <c r="B120" s="263"/>
      <c r="C120" s="262" t="s">
        <v>153</v>
      </c>
      <c r="D120" s="35">
        <v>0</v>
      </c>
      <c r="E120" s="55"/>
      <c r="F120" s="55">
        <f>E120-D120</f>
        <v>0</v>
      </c>
      <c r="G120" s="88" t="e">
        <f t="shared" si="10"/>
        <v>#DIV/0!</v>
      </c>
      <c r="H120" s="312"/>
    </row>
    <row r="121" spans="1:8" s="10" customFormat="1" ht="187.5" hidden="1" customHeight="1">
      <c r="A121" s="335"/>
      <c r="B121" s="263"/>
      <c r="C121" s="262" t="s">
        <v>155</v>
      </c>
      <c r="D121" s="35">
        <f>D122+D123</f>
        <v>0</v>
      </c>
      <c r="E121" s="35">
        <f>E122+E123</f>
        <v>0</v>
      </c>
      <c r="F121" s="35">
        <f>F122+F123</f>
        <v>0</v>
      </c>
      <c r="G121" s="88" t="e">
        <f t="shared" si="10"/>
        <v>#DIV/0!</v>
      </c>
      <c r="H121" s="87"/>
    </row>
    <row r="122" spans="1:8" s="10" customFormat="1" ht="40.5" hidden="1" customHeight="1">
      <c r="A122" s="335"/>
      <c r="B122" s="263"/>
      <c r="C122" s="240" t="s">
        <v>310</v>
      </c>
      <c r="D122" s="241"/>
      <c r="E122" s="241"/>
      <c r="F122" s="241">
        <f>E122-D122</f>
        <v>0</v>
      </c>
      <c r="G122" s="88" t="e">
        <f t="shared" ref="G122:G177" si="15">F122/E122*100</f>
        <v>#DIV/0!</v>
      </c>
      <c r="H122" s="22"/>
    </row>
    <row r="123" spans="1:8" s="10" customFormat="1" ht="20.25" hidden="1" customHeight="1">
      <c r="A123" s="335"/>
      <c r="B123" s="263"/>
      <c r="C123" s="242" t="s">
        <v>307</v>
      </c>
      <c r="D123" s="243"/>
      <c r="E123" s="243"/>
      <c r="F123" s="243">
        <f>E123-D123</f>
        <v>0</v>
      </c>
      <c r="G123" s="88" t="e">
        <f t="shared" si="15"/>
        <v>#DIV/0!</v>
      </c>
      <c r="H123" s="22"/>
    </row>
    <row r="124" spans="1:8" s="10" customFormat="1" ht="56.25">
      <c r="A124" s="335"/>
      <c r="B124" s="263"/>
      <c r="C124" s="262" t="s">
        <v>157</v>
      </c>
      <c r="D124" s="35">
        <f>D125+D126</f>
        <v>11400</v>
      </c>
      <c r="E124" s="35">
        <f>E125+E126</f>
        <v>11400</v>
      </c>
      <c r="F124" s="35">
        <f>F125+F126</f>
        <v>0</v>
      </c>
      <c r="G124" s="88">
        <f t="shared" si="15"/>
        <v>0</v>
      </c>
      <c r="H124" s="87"/>
    </row>
    <row r="125" spans="1:8" s="10" customFormat="1" ht="20.25" hidden="1" customHeight="1">
      <c r="A125" s="335"/>
      <c r="B125" s="263"/>
      <c r="C125" s="240" t="s">
        <v>401</v>
      </c>
      <c r="D125" s="241">
        <v>11400</v>
      </c>
      <c r="E125" s="241">
        <v>11400</v>
      </c>
      <c r="F125" s="241">
        <v>0</v>
      </c>
      <c r="G125" s="88">
        <f t="shared" si="15"/>
        <v>0</v>
      </c>
      <c r="H125" s="22"/>
    </row>
    <row r="126" spans="1:8" s="10" customFormat="1" ht="20.25" hidden="1" customHeight="1">
      <c r="A126" s="335"/>
      <c r="B126" s="263"/>
      <c r="C126" s="242" t="s">
        <v>307</v>
      </c>
      <c r="D126" s="243">
        <v>0</v>
      </c>
      <c r="E126" s="243">
        <v>0</v>
      </c>
      <c r="F126" s="243">
        <v>0</v>
      </c>
      <c r="G126" s="88" t="e">
        <f t="shared" si="15"/>
        <v>#DIV/0!</v>
      </c>
      <c r="H126" s="22"/>
    </row>
    <row r="127" spans="1:8" s="10" customFormat="1" ht="93.75">
      <c r="A127" s="335"/>
      <c r="B127" s="263"/>
      <c r="C127" s="262" t="s">
        <v>159</v>
      </c>
      <c r="D127" s="35">
        <f>D128+D129</f>
        <v>6400</v>
      </c>
      <c r="E127" s="35">
        <f>E128+E129</f>
        <v>6400</v>
      </c>
      <c r="F127" s="35">
        <f>F128+F129</f>
        <v>0</v>
      </c>
      <c r="G127" s="88">
        <f t="shared" si="15"/>
        <v>0</v>
      </c>
      <c r="H127" s="313"/>
    </row>
    <row r="128" spans="1:8" s="10" customFormat="1" ht="20.25" hidden="1" customHeight="1">
      <c r="A128" s="335"/>
      <c r="B128" s="263"/>
      <c r="C128" s="240" t="s">
        <v>401</v>
      </c>
      <c r="D128" s="241">
        <v>6400</v>
      </c>
      <c r="E128" s="241">
        <v>6400</v>
      </c>
      <c r="F128" s="241">
        <v>0</v>
      </c>
      <c r="G128" s="88">
        <f t="shared" si="15"/>
        <v>0</v>
      </c>
      <c r="H128" s="22"/>
    </row>
    <row r="129" spans="1:8" s="10" customFormat="1" ht="20.25" hidden="1" customHeight="1">
      <c r="A129" s="335"/>
      <c r="B129" s="263"/>
      <c r="C129" s="242" t="s">
        <v>307</v>
      </c>
      <c r="D129" s="243">
        <v>0</v>
      </c>
      <c r="E129" s="243">
        <v>0</v>
      </c>
      <c r="F129" s="243">
        <v>0</v>
      </c>
      <c r="G129" s="88" t="e">
        <f t="shared" si="15"/>
        <v>#DIV/0!</v>
      </c>
      <c r="H129" s="22"/>
    </row>
    <row r="130" spans="1:8" s="10" customFormat="1" ht="141.75" customHeight="1">
      <c r="A130" s="335"/>
      <c r="B130" s="263"/>
      <c r="C130" s="264" t="s">
        <v>150</v>
      </c>
      <c r="D130" s="35">
        <v>218100</v>
      </c>
      <c r="E130" s="35">
        <v>218100</v>
      </c>
      <c r="F130" s="55">
        <f t="shared" ref="F130:F135" si="16">E130-D130</f>
        <v>0</v>
      </c>
      <c r="G130" s="88">
        <f t="shared" si="15"/>
        <v>0</v>
      </c>
      <c r="H130" s="312"/>
    </row>
    <row r="131" spans="1:8" s="10" customFormat="1" ht="18.75" hidden="1" customHeight="1">
      <c r="A131" s="335"/>
      <c r="B131" s="263"/>
      <c r="C131" s="265" t="s">
        <v>331</v>
      </c>
      <c r="D131" s="35">
        <v>0</v>
      </c>
      <c r="E131" s="55">
        <v>0</v>
      </c>
      <c r="F131" s="55">
        <f t="shared" si="16"/>
        <v>0</v>
      </c>
      <c r="G131" s="88" t="e">
        <f t="shared" si="15"/>
        <v>#DIV/0!</v>
      </c>
      <c r="H131" s="312"/>
    </row>
    <row r="132" spans="1:8" s="10" customFormat="1" ht="37.5">
      <c r="A132" s="335"/>
      <c r="B132" s="266"/>
      <c r="C132" s="264" t="s">
        <v>145</v>
      </c>
      <c r="D132" s="35">
        <v>1500000</v>
      </c>
      <c r="E132" s="55">
        <v>1500000</v>
      </c>
      <c r="F132" s="55">
        <v>304470</v>
      </c>
      <c r="G132" s="88">
        <f t="shared" si="15"/>
        <v>20.297999999999998</v>
      </c>
      <c r="H132" s="312"/>
    </row>
    <row r="133" spans="1:8" s="10" customFormat="1" ht="18.75" hidden="1" customHeight="1">
      <c r="A133" s="335"/>
      <c r="B133" s="266"/>
      <c r="C133" s="264" t="s">
        <v>332</v>
      </c>
      <c r="D133" s="35"/>
      <c r="E133" s="55"/>
      <c r="F133" s="55">
        <f t="shared" si="16"/>
        <v>0</v>
      </c>
      <c r="G133" s="88" t="e">
        <f t="shared" si="15"/>
        <v>#DIV/0!</v>
      </c>
      <c r="H133" s="312"/>
    </row>
    <row r="134" spans="1:8" s="10" customFormat="1" ht="37.5" hidden="1" customHeight="1">
      <c r="A134" s="335"/>
      <c r="B134" s="266"/>
      <c r="C134" s="264" t="s">
        <v>333</v>
      </c>
      <c r="D134" s="35">
        <v>0</v>
      </c>
      <c r="E134" s="55">
        <v>0</v>
      </c>
      <c r="F134" s="55">
        <v>0</v>
      </c>
      <c r="G134" s="88" t="e">
        <f t="shared" si="15"/>
        <v>#DIV/0!</v>
      </c>
      <c r="H134" s="312"/>
    </row>
    <row r="135" spans="1:8" s="10" customFormat="1" ht="37.5" hidden="1" customHeight="1">
      <c r="A135" s="335"/>
      <c r="B135" s="266"/>
      <c r="C135" s="264" t="s">
        <v>334</v>
      </c>
      <c r="D135" s="35"/>
      <c r="E135" s="55"/>
      <c r="F135" s="55">
        <f t="shared" si="16"/>
        <v>0</v>
      </c>
      <c r="G135" s="88" t="e">
        <f t="shared" si="15"/>
        <v>#DIV/0!</v>
      </c>
      <c r="H135" s="312"/>
    </row>
    <row r="136" spans="1:8" s="10" customFormat="1" ht="93.75" hidden="1" customHeight="1">
      <c r="A136" s="335"/>
      <c r="B136" s="267"/>
      <c r="C136" s="264" t="s">
        <v>335</v>
      </c>
      <c r="D136" s="35">
        <f>D137+D138</f>
        <v>0</v>
      </c>
      <c r="E136" s="35">
        <f t="shared" ref="E136:F136" si="17">E137+E138</f>
        <v>0</v>
      </c>
      <c r="F136" s="35">
        <f t="shared" si="17"/>
        <v>0</v>
      </c>
      <c r="G136" s="88" t="e">
        <f t="shared" si="15"/>
        <v>#DIV/0!</v>
      </c>
      <c r="H136" s="87"/>
    </row>
    <row r="137" spans="1:8" s="10" customFormat="1" ht="20.25" hidden="1" customHeight="1">
      <c r="A137" s="335"/>
      <c r="B137" s="267"/>
      <c r="C137" s="268" t="s">
        <v>306</v>
      </c>
      <c r="D137" s="241"/>
      <c r="E137" s="241"/>
      <c r="F137" s="241"/>
      <c r="G137" s="88" t="e">
        <f t="shared" si="15"/>
        <v>#DIV/0!</v>
      </c>
      <c r="H137" s="22"/>
    </row>
    <row r="138" spans="1:8" s="10" customFormat="1" ht="20.25" hidden="1" customHeight="1">
      <c r="A138" s="335"/>
      <c r="B138" s="267"/>
      <c r="C138" s="253" t="s">
        <v>307</v>
      </c>
      <c r="D138" s="243"/>
      <c r="E138" s="243"/>
      <c r="F138" s="243"/>
      <c r="G138" s="88" t="e">
        <f t="shared" si="15"/>
        <v>#DIV/0!</v>
      </c>
      <c r="H138" s="22"/>
    </row>
    <row r="139" spans="1:8" s="10" customFormat="1" ht="75" hidden="1" customHeight="1">
      <c r="A139" s="335"/>
      <c r="B139" s="267"/>
      <c r="C139" s="264" t="s">
        <v>336</v>
      </c>
      <c r="D139" s="35">
        <f>D140+D141</f>
        <v>0</v>
      </c>
      <c r="E139" s="87">
        <f>E140+E141</f>
        <v>0</v>
      </c>
      <c r="F139" s="35">
        <f>F140+F141</f>
        <v>0</v>
      </c>
      <c r="G139" s="88" t="e">
        <f t="shared" si="15"/>
        <v>#DIV/0!</v>
      </c>
      <c r="H139" s="87"/>
    </row>
    <row r="140" spans="1:8" s="10" customFormat="1" ht="40.5" hidden="1" customHeight="1">
      <c r="A140" s="335"/>
      <c r="B140" s="267"/>
      <c r="C140" s="268" t="s">
        <v>310</v>
      </c>
      <c r="D140" s="241">
        <v>0</v>
      </c>
      <c r="E140" s="241">
        <v>0</v>
      </c>
      <c r="F140" s="241">
        <v>0</v>
      </c>
      <c r="G140" s="88" t="e">
        <f t="shared" si="15"/>
        <v>#DIV/0!</v>
      </c>
      <c r="H140" s="22"/>
    </row>
    <row r="141" spans="1:8" s="10" customFormat="1" ht="20.25" hidden="1" customHeight="1">
      <c r="A141" s="335"/>
      <c r="B141" s="267"/>
      <c r="C141" s="253" t="s">
        <v>307</v>
      </c>
      <c r="D141" s="243">
        <v>0</v>
      </c>
      <c r="E141" s="243">
        <v>0</v>
      </c>
      <c r="F141" s="243">
        <v>0</v>
      </c>
      <c r="G141" s="88" t="e">
        <f t="shared" si="15"/>
        <v>#DIV/0!</v>
      </c>
      <c r="H141" s="22"/>
    </row>
    <row r="142" spans="1:8" s="10" customFormat="1" ht="56.25" hidden="1" customHeight="1">
      <c r="A142" s="335"/>
      <c r="B142" s="267"/>
      <c r="C142" s="264" t="s">
        <v>337</v>
      </c>
      <c r="D142" s="35">
        <f>D143+D144</f>
        <v>0</v>
      </c>
      <c r="E142" s="87">
        <f>E143+E144</f>
        <v>0</v>
      </c>
      <c r="F142" s="35">
        <f>F143+F144</f>
        <v>0</v>
      </c>
      <c r="G142" s="88" t="e">
        <f t="shared" si="15"/>
        <v>#DIV/0!</v>
      </c>
      <c r="H142" s="87"/>
    </row>
    <row r="143" spans="1:8" s="10" customFormat="1" ht="40.5" hidden="1" customHeight="1">
      <c r="A143" s="335"/>
      <c r="B143" s="267"/>
      <c r="C143" s="268" t="s">
        <v>310</v>
      </c>
      <c r="D143" s="241"/>
      <c r="E143" s="241"/>
      <c r="F143" s="241"/>
      <c r="G143" s="88" t="e">
        <f t="shared" si="15"/>
        <v>#DIV/0!</v>
      </c>
      <c r="H143" s="22"/>
    </row>
    <row r="144" spans="1:8" s="10" customFormat="1" ht="20.25" hidden="1" customHeight="1">
      <c r="A144" s="335"/>
      <c r="B144" s="267"/>
      <c r="C144" s="253" t="s">
        <v>307</v>
      </c>
      <c r="D144" s="243"/>
      <c r="E144" s="243"/>
      <c r="F144" s="243"/>
      <c r="G144" s="88" t="e">
        <f t="shared" si="15"/>
        <v>#DIV/0!</v>
      </c>
      <c r="H144" s="22"/>
    </row>
    <row r="145" spans="1:8" s="10" customFormat="1" ht="56.25" hidden="1" customHeight="1">
      <c r="A145" s="335"/>
      <c r="B145" s="267"/>
      <c r="C145" s="264" t="s">
        <v>338</v>
      </c>
      <c r="D145" s="35">
        <f>D146+D147</f>
        <v>0</v>
      </c>
      <c r="E145" s="87">
        <f>E146+E147</f>
        <v>0</v>
      </c>
      <c r="F145" s="35">
        <f>F146+F147</f>
        <v>0</v>
      </c>
      <c r="G145" s="88" t="e">
        <f t="shared" si="15"/>
        <v>#DIV/0!</v>
      </c>
      <c r="H145" s="87"/>
    </row>
    <row r="146" spans="1:8" s="10" customFormat="1" ht="40.5" hidden="1" customHeight="1">
      <c r="A146" s="335"/>
      <c r="B146" s="267"/>
      <c r="C146" s="268" t="s">
        <v>310</v>
      </c>
      <c r="D146" s="241"/>
      <c r="E146" s="241"/>
      <c r="F146" s="241"/>
      <c r="G146" s="88" t="e">
        <f t="shared" si="15"/>
        <v>#DIV/0!</v>
      </c>
      <c r="H146" s="22"/>
    </row>
    <row r="147" spans="1:8" s="10" customFormat="1" ht="20.25" hidden="1" customHeight="1">
      <c r="A147" s="335"/>
      <c r="B147" s="267"/>
      <c r="C147" s="253" t="s">
        <v>307</v>
      </c>
      <c r="D147" s="243"/>
      <c r="E147" s="243"/>
      <c r="F147" s="243"/>
      <c r="G147" s="88" t="e">
        <f t="shared" si="15"/>
        <v>#DIV/0!</v>
      </c>
      <c r="H147" s="22"/>
    </row>
    <row r="148" spans="1:8" s="10" customFormat="1" ht="87" customHeight="1">
      <c r="A148" s="335"/>
      <c r="B148" s="246" t="s">
        <v>411</v>
      </c>
      <c r="C148" s="247"/>
      <c r="D148" s="269">
        <f>D149+D150</f>
        <v>126034700</v>
      </c>
      <c r="E148" s="269">
        <f>E149+E150</f>
        <v>131034700</v>
      </c>
      <c r="F148" s="269">
        <f>F149+F150</f>
        <v>321600</v>
      </c>
      <c r="G148" s="88">
        <f t="shared" si="15"/>
        <v>0.24543117204832002</v>
      </c>
      <c r="H148" s="313"/>
    </row>
    <row r="149" spans="1:8" s="10" customFormat="1" ht="26.25" customHeight="1">
      <c r="A149" s="335"/>
      <c r="B149" s="332"/>
      <c r="C149" s="240" t="s">
        <v>306</v>
      </c>
      <c r="D149" s="241">
        <f>D151+D152+D153+D154+D156+D158+D159+D160+D162+D164+D165+D166+D167+D168+D169+D170+D175+D172+D173</f>
        <v>26034700</v>
      </c>
      <c r="E149" s="241">
        <f>E151+E152+E153+E154+E156+E158+E159+E160+E162+E164+E165+E166+E167+E168+E169+E170+E175+E172+E173</f>
        <v>31034700</v>
      </c>
      <c r="F149" s="241">
        <f>F151+F152+F153+F154+F156+F158+F159+F160+F162+F164+F165+F166+F167+F168+F169+F170+F175</f>
        <v>321600</v>
      </c>
      <c r="G149" s="88">
        <f t="shared" si="15"/>
        <v>1.0362594128507767</v>
      </c>
      <c r="H149" s="249"/>
    </row>
    <row r="150" spans="1:8" s="10" customFormat="1" ht="20.25">
      <c r="A150" s="335"/>
      <c r="B150" s="333"/>
      <c r="C150" s="242" t="s">
        <v>339</v>
      </c>
      <c r="D150" s="243">
        <f>D157+D163+D174</f>
        <v>100000000</v>
      </c>
      <c r="E150" s="243">
        <f>E157+E163+E174</f>
        <v>100000000</v>
      </c>
      <c r="F150" s="243">
        <f>F157+F163</f>
        <v>0</v>
      </c>
      <c r="G150" s="88">
        <f t="shared" si="15"/>
        <v>0</v>
      </c>
      <c r="H150" s="249"/>
    </row>
    <row r="151" spans="1:8" s="10" customFormat="1" ht="75">
      <c r="A151" s="335"/>
      <c r="B151" s="261" t="s">
        <v>12</v>
      </c>
      <c r="C151" s="331" t="s">
        <v>404</v>
      </c>
      <c r="D151" s="315">
        <v>600000</v>
      </c>
      <c r="E151" s="315">
        <v>600000</v>
      </c>
      <c r="F151" s="315">
        <v>0</v>
      </c>
      <c r="G151" s="88">
        <f t="shared" si="15"/>
        <v>0</v>
      </c>
      <c r="H151" s="314"/>
    </row>
    <row r="152" spans="1:8" s="10" customFormat="1" ht="37.5" hidden="1" customHeight="1">
      <c r="A152" s="335"/>
      <c r="B152" s="263"/>
      <c r="C152" s="331" t="s">
        <v>340</v>
      </c>
      <c r="D152" s="315"/>
      <c r="E152" s="315"/>
      <c r="F152" s="315"/>
      <c r="G152" s="88" t="e">
        <f t="shared" si="15"/>
        <v>#DIV/0!</v>
      </c>
      <c r="H152" s="314"/>
    </row>
    <row r="153" spans="1:8" s="10" customFormat="1" ht="56.25" hidden="1" customHeight="1">
      <c r="A153" s="335"/>
      <c r="B153" s="263"/>
      <c r="C153" s="331" t="s">
        <v>162</v>
      </c>
      <c r="D153" s="315">
        <v>0</v>
      </c>
      <c r="E153" s="315">
        <v>0</v>
      </c>
      <c r="F153" s="315"/>
      <c r="G153" s="88" t="e">
        <f t="shared" si="15"/>
        <v>#DIV/0!</v>
      </c>
      <c r="H153" s="314"/>
    </row>
    <row r="154" spans="1:8" s="10" customFormat="1" ht="93.75">
      <c r="A154" s="335"/>
      <c r="B154" s="263"/>
      <c r="C154" s="331" t="s">
        <v>402</v>
      </c>
      <c r="D154" s="315">
        <v>2000000</v>
      </c>
      <c r="E154" s="315">
        <v>2000000</v>
      </c>
      <c r="F154" s="315">
        <f>56280+265320</f>
        <v>321600</v>
      </c>
      <c r="G154" s="88">
        <f t="shared" si="15"/>
        <v>16.079999999999998</v>
      </c>
      <c r="H154" s="314"/>
    </row>
    <row r="155" spans="1:8" s="10" customFormat="1" ht="56.25" hidden="1" customHeight="1">
      <c r="A155" s="335"/>
      <c r="B155" s="263"/>
      <c r="C155" s="331" t="s">
        <v>341</v>
      </c>
      <c r="D155" s="315">
        <f>D156+D157</f>
        <v>0</v>
      </c>
      <c r="E155" s="315">
        <f>E156+E157</f>
        <v>0</v>
      </c>
      <c r="F155" s="315">
        <f>F156+F157</f>
        <v>0</v>
      </c>
      <c r="G155" s="88" t="e">
        <f t="shared" si="15"/>
        <v>#DIV/0!</v>
      </c>
      <c r="H155" s="314"/>
    </row>
    <row r="156" spans="1:8" s="10" customFormat="1" ht="37.5" hidden="1" customHeight="1">
      <c r="A156" s="335"/>
      <c r="B156" s="263"/>
      <c r="C156" s="325" t="s">
        <v>342</v>
      </c>
      <c r="D156" s="326"/>
      <c r="E156" s="326"/>
      <c r="F156" s="326"/>
      <c r="G156" s="88" t="e">
        <f t="shared" si="15"/>
        <v>#DIV/0!</v>
      </c>
      <c r="H156" s="314"/>
    </row>
    <row r="157" spans="1:8" s="10" customFormat="1" ht="75" hidden="1" customHeight="1">
      <c r="A157" s="335"/>
      <c r="B157" s="263"/>
      <c r="C157" s="329" t="s">
        <v>404</v>
      </c>
      <c r="D157" s="330"/>
      <c r="E157" s="330"/>
      <c r="F157" s="330">
        <v>0</v>
      </c>
      <c r="G157" s="88" t="e">
        <f t="shared" si="15"/>
        <v>#DIV/0!</v>
      </c>
      <c r="H157" s="315"/>
    </row>
    <row r="158" spans="1:8" s="10" customFormat="1" ht="56.25">
      <c r="A158" s="335"/>
      <c r="B158" s="263"/>
      <c r="C158" s="331" t="s">
        <v>164</v>
      </c>
      <c r="D158" s="315">
        <f>850000+854700-600000</f>
        <v>1104700</v>
      </c>
      <c r="E158" s="315">
        <f>5000000+850000+854700-600000</f>
        <v>6104700</v>
      </c>
      <c r="F158" s="315">
        <v>0</v>
      </c>
      <c r="G158" s="88">
        <f t="shared" si="15"/>
        <v>0</v>
      </c>
      <c r="H158" s="316"/>
    </row>
    <row r="159" spans="1:8" s="10" customFormat="1" ht="93.75">
      <c r="A159" s="335"/>
      <c r="B159" s="263"/>
      <c r="C159" s="331" t="s">
        <v>166</v>
      </c>
      <c r="D159" s="315">
        <v>2200000</v>
      </c>
      <c r="E159" s="315">
        <v>2200000</v>
      </c>
      <c r="F159" s="315">
        <v>0</v>
      </c>
      <c r="G159" s="88">
        <f t="shared" si="15"/>
        <v>0</v>
      </c>
      <c r="H159" s="314"/>
    </row>
    <row r="160" spans="1:8" s="10" customFormat="1" ht="131.25" hidden="1" customHeight="1">
      <c r="A160" s="335"/>
      <c r="B160" s="263"/>
      <c r="C160" s="331" t="s">
        <v>167</v>
      </c>
      <c r="D160" s="315">
        <v>0</v>
      </c>
      <c r="E160" s="315">
        <v>0</v>
      </c>
      <c r="F160" s="315"/>
      <c r="G160" s="88" t="e">
        <f t="shared" si="15"/>
        <v>#DIV/0!</v>
      </c>
      <c r="H160" s="314"/>
    </row>
    <row r="161" spans="1:8" s="10" customFormat="1" ht="56.25" hidden="1" customHeight="1">
      <c r="A161" s="335"/>
      <c r="B161" s="263"/>
      <c r="C161" s="331" t="s">
        <v>168</v>
      </c>
      <c r="D161" s="315">
        <f>D162+D163</f>
        <v>0</v>
      </c>
      <c r="E161" s="315">
        <f>E162+E163</f>
        <v>0</v>
      </c>
      <c r="F161" s="315">
        <f>F162+F163</f>
        <v>0</v>
      </c>
      <c r="G161" s="88" t="e">
        <f t="shared" si="15"/>
        <v>#DIV/0!</v>
      </c>
      <c r="H161" s="22"/>
    </row>
    <row r="162" spans="1:8" s="10" customFormat="1" ht="18.75" hidden="1" customHeight="1">
      <c r="A162" s="335"/>
      <c r="B162" s="263"/>
      <c r="C162" s="325" t="s">
        <v>343</v>
      </c>
      <c r="D162" s="326">
        <v>0</v>
      </c>
      <c r="E162" s="326">
        <v>0</v>
      </c>
      <c r="F162" s="326">
        <v>0</v>
      </c>
      <c r="G162" s="88" t="e">
        <f t="shared" si="15"/>
        <v>#DIV/0!</v>
      </c>
      <c r="H162" s="314"/>
    </row>
    <row r="163" spans="1:8" s="10" customFormat="1" ht="18.75" hidden="1" customHeight="1">
      <c r="A163" s="335"/>
      <c r="B163" s="263"/>
      <c r="C163" s="327" t="s">
        <v>344</v>
      </c>
      <c r="D163" s="328">
        <v>0</v>
      </c>
      <c r="E163" s="328"/>
      <c r="F163" s="328">
        <v>0</v>
      </c>
      <c r="G163" s="88" t="e">
        <f t="shared" si="15"/>
        <v>#DIV/0!</v>
      </c>
      <c r="H163" s="315"/>
    </row>
    <row r="164" spans="1:8" s="10" customFormat="1" ht="56.25" hidden="1" customHeight="1">
      <c r="A164" s="335"/>
      <c r="B164" s="263"/>
      <c r="C164" s="331" t="s">
        <v>170</v>
      </c>
      <c r="D164" s="315">
        <v>0</v>
      </c>
      <c r="E164" s="315">
        <v>0</v>
      </c>
      <c r="F164" s="315">
        <f>E164-D164</f>
        <v>0</v>
      </c>
      <c r="G164" s="88" t="e">
        <f t="shared" si="15"/>
        <v>#DIV/0!</v>
      </c>
      <c r="H164" s="314"/>
    </row>
    <row r="165" spans="1:8" s="10" customFormat="1" ht="56.25" hidden="1" customHeight="1">
      <c r="A165" s="335"/>
      <c r="B165" s="263"/>
      <c r="C165" s="331" t="s">
        <v>171</v>
      </c>
      <c r="D165" s="315">
        <v>0</v>
      </c>
      <c r="E165" s="315">
        <v>0</v>
      </c>
      <c r="F165" s="315">
        <f t="shared" ref="F165:F170" si="18">E165-D165</f>
        <v>0</v>
      </c>
      <c r="G165" s="88" t="e">
        <f t="shared" si="15"/>
        <v>#DIV/0!</v>
      </c>
      <c r="H165" s="314"/>
    </row>
    <row r="166" spans="1:8" s="10" customFormat="1" ht="56.25" hidden="1" customHeight="1">
      <c r="A166" s="335"/>
      <c r="B166" s="263"/>
      <c r="C166" s="331" t="s">
        <v>172</v>
      </c>
      <c r="D166" s="315">
        <v>0</v>
      </c>
      <c r="E166" s="315">
        <v>0</v>
      </c>
      <c r="F166" s="315">
        <f t="shared" si="18"/>
        <v>0</v>
      </c>
      <c r="G166" s="88" t="e">
        <f t="shared" si="15"/>
        <v>#DIV/0!</v>
      </c>
      <c r="H166" s="314"/>
    </row>
    <row r="167" spans="1:8" s="10" customFormat="1" ht="37.5" hidden="1" customHeight="1">
      <c r="A167" s="335"/>
      <c r="B167" s="263"/>
      <c r="C167" s="331" t="s">
        <v>345</v>
      </c>
      <c r="D167" s="315"/>
      <c r="E167" s="315"/>
      <c r="F167" s="315">
        <f t="shared" si="18"/>
        <v>0</v>
      </c>
      <c r="G167" s="88" t="e">
        <f t="shared" si="15"/>
        <v>#DIV/0!</v>
      </c>
      <c r="H167" s="314"/>
    </row>
    <row r="168" spans="1:8" s="10" customFormat="1" ht="37.5">
      <c r="A168" s="335"/>
      <c r="B168" s="263"/>
      <c r="C168" s="331" t="s">
        <v>346</v>
      </c>
      <c r="D168" s="315">
        <v>150000</v>
      </c>
      <c r="E168" s="315">
        <v>150000</v>
      </c>
      <c r="F168" s="315">
        <v>0</v>
      </c>
      <c r="G168" s="88">
        <f t="shared" si="15"/>
        <v>0</v>
      </c>
      <c r="H168" s="314"/>
    </row>
    <row r="169" spans="1:8" s="10" customFormat="1" ht="37.5" hidden="1" customHeight="1">
      <c r="A169" s="335"/>
      <c r="B169" s="263"/>
      <c r="C169" s="331" t="s">
        <v>347</v>
      </c>
      <c r="D169" s="315">
        <v>0</v>
      </c>
      <c r="E169" s="315">
        <v>0</v>
      </c>
      <c r="F169" s="315">
        <f t="shared" si="18"/>
        <v>0</v>
      </c>
      <c r="G169" s="88" t="e">
        <f t="shared" si="15"/>
        <v>#DIV/0!</v>
      </c>
      <c r="H169" s="314"/>
    </row>
    <row r="170" spans="1:8" s="10" customFormat="1" ht="56.25" hidden="1" customHeight="1">
      <c r="A170" s="335"/>
      <c r="B170" s="263"/>
      <c r="C170" s="126" t="s">
        <v>55</v>
      </c>
      <c r="D170" s="315">
        <v>0</v>
      </c>
      <c r="E170" s="315">
        <v>0</v>
      </c>
      <c r="F170" s="315">
        <f t="shared" si="18"/>
        <v>0</v>
      </c>
      <c r="G170" s="88" t="e">
        <f t="shared" si="15"/>
        <v>#DIV/0!</v>
      </c>
      <c r="H170" s="295"/>
    </row>
    <row r="171" spans="1:8" s="10" customFormat="1" ht="39.75" customHeight="1">
      <c r="A171" s="335"/>
      <c r="B171" s="263"/>
      <c r="C171" s="248" t="s">
        <v>403</v>
      </c>
      <c r="D171" s="87">
        <f>D173+D174+D172</f>
        <v>119980000</v>
      </c>
      <c r="E171" s="87">
        <f>E173+E174+E172</f>
        <v>119980000</v>
      </c>
      <c r="F171" s="87">
        <f>F173+F174+F172</f>
        <v>0</v>
      </c>
      <c r="G171" s="88">
        <f t="shared" si="15"/>
        <v>0</v>
      </c>
      <c r="H171" s="296"/>
    </row>
    <row r="172" spans="1:8" s="10" customFormat="1" ht="40.5">
      <c r="A172" s="335"/>
      <c r="B172" s="263"/>
      <c r="C172" s="240" t="s">
        <v>309</v>
      </c>
      <c r="D172" s="241">
        <v>16887200</v>
      </c>
      <c r="E172" s="241">
        <v>16887200</v>
      </c>
      <c r="F172" s="326">
        <v>0</v>
      </c>
      <c r="G172" s="88">
        <f t="shared" si="15"/>
        <v>0</v>
      </c>
      <c r="H172" s="296"/>
    </row>
    <row r="173" spans="1:8" s="10" customFormat="1" ht="40.5">
      <c r="A173" s="335"/>
      <c r="B173" s="263"/>
      <c r="C173" s="240" t="s">
        <v>310</v>
      </c>
      <c r="D173" s="241">
        <v>3092800</v>
      </c>
      <c r="E173" s="241">
        <v>3092800</v>
      </c>
      <c r="F173" s="326">
        <v>0</v>
      </c>
      <c r="G173" s="88">
        <f t="shared" si="15"/>
        <v>0</v>
      </c>
      <c r="H173" s="296"/>
    </row>
    <row r="174" spans="1:8" s="10" customFormat="1" ht="20.25">
      <c r="A174" s="335"/>
      <c r="B174" s="263"/>
      <c r="C174" s="242" t="s">
        <v>307</v>
      </c>
      <c r="D174" s="243">
        <v>100000000</v>
      </c>
      <c r="E174" s="243">
        <v>100000000</v>
      </c>
      <c r="F174" s="330">
        <v>0</v>
      </c>
      <c r="G174" s="88">
        <f t="shared" si="15"/>
        <v>0</v>
      </c>
      <c r="H174" s="296"/>
    </row>
    <row r="175" spans="1:8" s="10" customFormat="1" ht="18.75" hidden="1" customHeight="1">
      <c r="A175" s="335"/>
      <c r="B175" s="270"/>
      <c r="C175" s="126"/>
      <c r="D175" s="87"/>
      <c r="E175" s="87"/>
      <c r="F175" s="315"/>
      <c r="G175" s="88" t="e">
        <f t="shared" si="15"/>
        <v>#DIV/0!</v>
      </c>
      <c r="H175" s="297"/>
    </row>
    <row r="176" spans="1:8" s="10" customFormat="1" ht="87.75" customHeight="1">
      <c r="A176" s="335"/>
      <c r="B176" s="258" t="s">
        <v>410</v>
      </c>
      <c r="C176" s="259"/>
      <c r="D176" s="43">
        <f>D177+D178</f>
        <v>1219020300</v>
      </c>
      <c r="E176" s="43">
        <f t="shared" ref="E176:F176" si="19">E177+E178</f>
        <v>1219020300</v>
      </c>
      <c r="F176" s="43">
        <f t="shared" si="19"/>
        <v>284858619.05000001</v>
      </c>
      <c r="G176" s="88">
        <f t="shared" si="15"/>
        <v>23.367832270717724</v>
      </c>
      <c r="H176" s="22"/>
    </row>
    <row r="177" spans="1:8" s="10" customFormat="1" ht="20.25">
      <c r="A177" s="335"/>
      <c r="B177" s="332"/>
      <c r="C177" s="240" t="s">
        <v>306</v>
      </c>
      <c r="D177" s="241">
        <f>D179+D180+D181+D182+D183+D184+D185+D186+D187+D189+D190+D193+D195+D203+D205+D209</f>
        <v>443004300</v>
      </c>
      <c r="E177" s="241">
        <f t="shared" ref="E177:F177" si="20">E179+E180+E181+E182+E183+E184+E185+E186+E187+E189+E190+E193+E195+E203+E205+E209</f>
        <v>443004300</v>
      </c>
      <c r="F177" s="241">
        <f t="shared" si="20"/>
        <v>134847130.36000001</v>
      </c>
      <c r="G177" s="88">
        <f t="shared" si="15"/>
        <v>30.439237352775134</v>
      </c>
      <c r="H177" s="249"/>
    </row>
    <row r="178" spans="1:8" s="10" customFormat="1" ht="20.25">
      <c r="A178" s="335"/>
      <c r="B178" s="333"/>
      <c r="C178" s="242" t="s">
        <v>307</v>
      </c>
      <c r="D178" s="243">
        <f>D191+D194+D197+D199+D208+D211</f>
        <v>776016000</v>
      </c>
      <c r="E178" s="243">
        <f>E191+E194+E197+E199+E208+E211</f>
        <v>776016000</v>
      </c>
      <c r="F178" s="243">
        <f>F191+F194+F197+F199+F208+F211</f>
        <v>150011488.69</v>
      </c>
      <c r="G178" s="88">
        <f>F178/E178*100</f>
        <v>19.33097883162203</v>
      </c>
      <c r="H178" s="249"/>
    </row>
    <row r="179" spans="1:8" s="10" customFormat="1" ht="70.5" customHeight="1">
      <c r="A179" s="335"/>
      <c r="B179" s="131" t="s">
        <v>135</v>
      </c>
      <c r="C179" s="338" t="s">
        <v>348</v>
      </c>
      <c r="D179" s="87">
        <v>14516400</v>
      </c>
      <c r="E179" s="87">
        <v>14516400</v>
      </c>
      <c r="F179" s="87">
        <v>3370000</v>
      </c>
      <c r="G179" s="88">
        <f t="shared" ref="G179:G211" si="21">F179/E179*100</f>
        <v>23.215122206607699</v>
      </c>
      <c r="H179" s="49"/>
    </row>
    <row r="180" spans="1:8" s="10" customFormat="1" ht="70.5" customHeight="1">
      <c r="A180" s="335"/>
      <c r="B180" s="132"/>
      <c r="C180" s="338" t="s">
        <v>349</v>
      </c>
      <c r="D180" s="87">
        <f>70134600+23000</f>
        <v>70157600</v>
      </c>
      <c r="E180" s="87">
        <f>70134600+23000</f>
        <v>70157600</v>
      </c>
      <c r="F180" s="87">
        <f>4579.92+15384400</f>
        <v>15388979.92</v>
      </c>
      <c r="G180" s="88">
        <f t="shared" si="21"/>
        <v>21.934872230520998</v>
      </c>
      <c r="H180" s="49"/>
    </row>
    <row r="181" spans="1:8" s="10" customFormat="1" ht="60" customHeight="1">
      <c r="A181" s="335"/>
      <c r="B181" s="132"/>
      <c r="C181" s="338" t="s">
        <v>350</v>
      </c>
      <c r="D181" s="87">
        <v>23274000</v>
      </c>
      <c r="E181" s="87">
        <v>23274000</v>
      </c>
      <c r="F181" s="87">
        <v>6504000</v>
      </c>
      <c r="G181" s="88">
        <f t="shared" si="21"/>
        <v>27.945346738850219</v>
      </c>
      <c r="H181" s="49"/>
    </row>
    <row r="182" spans="1:8" s="10" customFormat="1" ht="51" customHeight="1">
      <c r="A182" s="335"/>
      <c r="B182" s="132"/>
      <c r="C182" s="338" t="s">
        <v>351</v>
      </c>
      <c r="D182" s="87">
        <f>20000+32409600+19023300</f>
        <v>51452900</v>
      </c>
      <c r="E182" s="87">
        <f>20000+32409600+19023300</f>
        <v>51452900</v>
      </c>
      <c r="F182" s="87">
        <f>5336.46+7554497.7</f>
        <v>7559834.1600000001</v>
      </c>
      <c r="G182" s="88">
        <f t="shared" si="21"/>
        <v>14.692727057172677</v>
      </c>
      <c r="H182" s="49"/>
    </row>
    <row r="183" spans="1:8" s="10" customFormat="1" ht="72" customHeight="1">
      <c r="A183" s="335"/>
      <c r="B183" s="132"/>
      <c r="C183" s="338" t="s">
        <v>352</v>
      </c>
      <c r="D183" s="87">
        <v>12000</v>
      </c>
      <c r="E183" s="87">
        <v>12000</v>
      </c>
      <c r="F183" s="87">
        <v>3209.5</v>
      </c>
      <c r="G183" s="88">
        <f t="shared" si="21"/>
        <v>26.745833333333337</v>
      </c>
      <c r="H183" s="49"/>
    </row>
    <row r="184" spans="1:8" s="10" customFormat="1" ht="72" customHeight="1">
      <c r="A184" s="335"/>
      <c r="B184" s="132"/>
      <c r="C184" s="338" t="s">
        <v>353</v>
      </c>
      <c r="D184" s="87">
        <v>59000</v>
      </c>
      <c r="E184" s="87">
        <v>59000</v>
      </c>
      <c r="F184" s="87">
        <v>0</v>
      </c>
      <c r="G184" s="88">
        <f t="shared" si="21"/>
        <v>0</v>
      </c>
      <c r="H184" s="49"/>
    </row>
    <row r="185" spans="1:8" s="10" customFormat="1" ht="43.5" customHeight="1">
      <c r="A185" s="335"/>
      <c r="B185" s="132"/>
      <c r="C185" s="338" t="s">
        <v>26</v>
      </c>
      <c r="D185" s="87">
        <v>132000000</v>
      </c>
      <c r="E185" s="87">
        <v>132000000</v>
      </c>
      <c r="F185" s="87">
        <v>39408897.609999999</v>
      </c>
      <c r="G185" s="88">
        <f t="shared" si="21"/>
        <v>29.855225462121211</v>
      </c>
      <c r="H185" s="49"/>
    </row>
    <row r="186" spans="1:8" s="10" customFormat="1" ht="37.5">
      <c r="A186" s="335"/>
      <c r="B186" s="132"/>
      <c r="C186" s="338" t="s">
        <v>8</v>
      </c>
      <c r="D186" s="87">
        <v>30000</v>
      </c>
      <c r="E186" s="87">
        <v>30000</v>
      </c>
      <c r="F186" s="87">
        <v>0</v>
      </c>
      <c r="G186" s="88">
        <f t="shared" si="21"/>
        <v>0</v>
      </c>
      <c r="H186" s="49"/>
    </row>
    <row r="187" spans="1:8" s="10" customFormat="1" ht="37.5">
      <c r="A187" s="335"/>
      <c r="B187" s="132"/>
      <c r="C187" s="338" t="s">
        <v>9</v>
      </c>
      <c r="D187" s="87">
        <v>600000</v>
      </c>
      <c r="E187" s="87">
        <v>600000</v>
      </c>
      <c r="F187" s="87">
        <v>0</v>
      </c>
      <c r="G187" s="88">
        <f t="shared" si="21"/>
        <v>0</v>
      </c>
      <c r="H187" s="49"/>
    </row>
    <row r="188" spans="1:8" s="10" customFormat="1" ht="56.25">
      <c r="A188" s="335"/>
      <c r="B188" s="132"/>
      <c r="C188" s="337" t="s">
        <v>20</v>
      </c>
      <c r="D188" s="87">
        <f>D189+D190+D191</f>
        <v>460705100</v>
      </c>
      <c r="E188" s="87">
        <f t="shared" ref="E188:F188" si="22">E189+E190+E191</f>
        <v>460705100</v>
      </c>
      <c r="F188" s="87">
        <f t="shared" si="22"/>
        <v>124647803.84999999</v>
      </c>
      <c r="G188" s="88">
        <f t="shared" si="21"/>
        <v>27.055876709417802</v>
      </c>
      <c r="H188" s="22"/>
    </row>
    <row r="189" spans="1:8" s="10" customFormat="1" ht="40.5">
      <c r="A189" s="335"/>
      <c r="B189" s="132"/>
      <c r="C189" s="240" t="s">
        <v>309</v>
      </c>
      <c r="D189" s="271">
        <v>8364300</v>
      </c>
      <c r="E189" s="271">
        <v>8364300</v>
      </c>
      <c r="F189" s="271">
        <v>0</v>
      </c>
      <c r="G189" s="88">
        <f t="shared" si="21"/>
        <v>0</v>
      </c>
      <c r="H189" s="22"/>
    </row>
    <row r="190" spans="1:8" s="10" customFormat="1" ht="20.25">
      <c r="A190" s="335"/>
      <c r="B190" s="132"/>
      <c r="C190" s="240" t="s">
        <v>306</v>
      </c>
      <c r="D190" s="271">
        <f>44082092.85+59956307.15</f>
        <v>104038400</v>
      </c>
      <c r="E190" s="271">
        <f>44082092.85+59956307.15</f>
        <v>104038400</v>
      </c>
      <c r="F190" s="271">
        <f>18530116.32+44082092.85</f>
        <v>62612209.170000002</v>
      </c>
      <c r="G190" s="88">
        <f t="shared" si="21"/>
        <v>60.181826296828866</v>
      </c>
      <c r="H190" s="22"/>
    </row>
    <row r="191" spans="1:8" s="10" customFormat="1" ht="20.25">
      <c r="A191" s="335"/>
      <c r="B191" s="132"/>
      <c r="C191" s="242" t="s">
        <v>307</v>
      </c>
      <c r="D191" s="251">
        <v>348302400</v>
      </c>
      <c r="E191" s="251">
        <v>348302400</v>
      </c>
      <c r="F191" s="251">
        <v>62035594.68</v>
      </c>
      <c r="G191" s="88">
        <f t="shared" si="21"/>
        <v>17.810843301682674</v>
      </c>
      <c r="H191" s="22"/>
    </row>
    <row r="192" spans="1:8" s="10" customFormat="1">
      <c r="A192" s="335"/>
      <c r="B192" s="132"/>
      <c r="C192" s="339" t="s">
        <v>10</v>
      </c>
      <c r="D192" s="87">
        <f>D193+D194</f>
        <v>54600</v>
      </c>
      <c r="E192" s="87">
        <f t="shared" ref="E192:F192" si="23">E193+E194</f>
        <v>54600</v>
      </c>
      <c r="F192" s="87">
        <f t="shared" si="23"/>
        <v>0</v>
      </c>
      <c r="G192" s="88">
        <f t="shared" si="21"/>
        <v>0</v>
      </c>
      <c r="H192" s="22"/>
    </row>
    <row r="193" spans="1:8" s="10" customFormat="1" ht="20.25">
      <c r="A193" s="335"/>
      <c r="B193" s="132"/>
      <c r="C193" s="240" t="s">
        <v>306</v>
      </c>
      <c r="D193" s="271">
        <v>26000</v>
      </c>
      <c r="E193" s="271">
        <v>26000</v>
      </c>
      <c r="F193" s="271">
        <v>0</v>
      </c>
      <c r="G193" s="88">
        <f t="shared" si="21"/>
        <v>0</v>
      </c>
      <c r="H193" s="22"/>
    </row>
    <row r="194" spans="1:8" s="10" customFormat="1" ht="20.25">
      <c r="A194" s="335"/>
      <c r="B194" s="132"/>
      <c r="C194" s="242" t="s">
        <v>307</v>
      </c>
      <c r="D194" s="251">
        <v>28600</v>
      </c>
      <c r="E194" s="251">
        <v>28600</v>
      </c>
      <c r="F194" s="251">
        <v>0</v>
      </c>
      <c r="G194" s="88">
        <f t="shared" si="21"/>
        <v>0</v>
      </c>
      <c r="H194" s="22"/>
    </row>
    <row r="195" spans="1:8" s="10" customFormat="1" ht="56.25">
      <c r="A195" s="335"/>
      <c r="B195" s="132"/>
      <c r="C195" s="339" t="s">
        <v>56</v>
      </c>
      <c r="D195" s="87">
        <v>38313700</v>
      </c>
      <c r="E195" s="87">
        <v>38313700</v>
      </c>
      <c r="F195" s="87">
        <v>0</v>
      </c>
      <c r="G195" s="88">
        <f t="shared" si="21"/>
        <v>0</v>
      </c>
      <c r="H195" s="22"/>
    </row>
    <row r="196" spans="1:8" s="10" customFormat="1" ht="111.75" customHeight="1">
      <c r="A196" s="335"/>
      <c r="B196" s="132"/>
      <c r="C196" s="340" t="s">
        <v>34</v>
      </c>
      <c r="D196" s="86">
        <f>D197</f>
        <v>42200</v>
      </c>
      <c r="E196" s="86">
        <f>E197</f>
        <v>42200</v>
      </c>
      <c r="F196" s="86">
        <f>F197</f>
        <v>0</v>
      </c>
      <c r="G196" s="88">
        <f t="shared" si="21"/>
        <v>0</v>
      </c>
      <c r="H196" s="22"/>
    </row>
    <row r="197" spans="1:8" s="10" customFormat="1" ht="20.25">
      <c r="A197" s="335"/>
      <c r="B197" s="132"/>
      <c r="C197" s="242" t="s">
        <v>307</v>
      </c>
      <c r="D197" s="251">
        <v>42200</v>
      </c>
      <c r="E197" s="251">
        <v>42200</v>
      </c>
      <c r="F197" s="251">
        <v>0</v>
      </c>
      <c r="G197" s="88">
        <f t="shared" si="21"/>
        <v>0</v>
      </c>
      <c r="H197" s="22"/>
    </row>
    <row r="198" spans="1:8" s="10" customFormat="1" ht="112.5">
      <c r="A198" s="335"/>
      <c r="B198" s="132"/>
      <c r="C198" s="340" t="s">
        <v>354</v>
      </c>
      <c r="D198" s="86">
        <f>D199</f>
        <v>6067000</v>
      </c>
      <c r="E198" s="86">
        <f>E199</f>
        <v>6067000</v>
      </c>
      <c r="F198" s="86">
        <f>F199</f>
        <v>348610.59</v>
      </c>
      <c r="G198" s="88">
        <f t="shared" si="21"/>
        <v>5.7460126916103516</v>
      </c>
      <c r="H198" s="22"/>
    </row>
    <row r="199" spans="1:8" s="10" customFormat="1" ht="20.25">
      <c r="A199" s="335"/>
      <c r="B199" s="132"/>
      <c r="C199" s="242" t="s">
        <v>307</v>
      </c>
      <c r="D199" s="251">
        <v>6067000</v>
      </c>
      <c r="E199" s="251">
        <v>6067000</v>
      </c>
      <c r="F199" s="251">
        <v>348610.59</v>
      </c>
      <c r="G199" s="88">
        <f t="shared" si="21"/>
        <v>5.7460126916103516</v>
      </c>
      <c r="H199" s="22"/>
    </row>
    <row r="200" spans="1:8" s="10" customFormat="1" ht="75" hidden="1" customHeight="1">
      <c r="A200" s="335"/>
      <c r="B200" s="132"/>
      <c r="C200" s="340" t="s">
        <v>178</v>
      </c>
      <c r="D200" s="86">
        <v>0</v>
      </c>
      <c r="E200" s="72">
        <v>0</v>
      </c>
      <c r="F200" s="72"/>
      <c r="G200" s="88" t="e">
        <f t="shared" si="21"/>
        <v>#DIV/0!</v>
      </c>
      <c r="H200" s="22"/>
    </row>
    <row r="201" spans="1:8" s="10" customFormat="1" ht="56.25" hidden="1" customHeight="1">
      <c r="A201" s="335"/>
      <c r="B201" s="132"/>
      <c r="C201" s="340" t="s">
        <v>179</v>
      </c>
      <c r="D201" s="86">
        <v>0</v>
      </c>
      <c r="E201" s="72">
        <v>0</v>
      </c>
      <c r="F201" s="72"/>
      <c r="G201" s="88" t="e">
        <f t="shared" si="21"/>
        <v>#DIV/0!</v>
      </c>
      <c r="H201" s="22"/>
    </row>
    <row r="202" spans="1:8" s="10" customFormat="1" ht="18.75" hidden="1" customHeight="1">
      <c r="A202" s="335"/>
      <c r="B202" s="132"/>
      <c r="C202" s="340" t="s">
        <v>355</v>
      </c>
      <c r="D202" s="86">
        <v>0</v>
      </c>
      <c r="E202" s="72">
        <v>0</v>
      </c>
      <c r="F202" s="72"/>
      <c r="G202" s="88" t="e">
        <f t="shared" si="21"/>
        <v>#DIV/0!</v>
      </c>
      <c r="H202" s="22"/>
    </row>
    <row r="203" spans="1:8" s="10" customFormat="1" ht="75">
      <c r="A203" s="335"/>
      <c r="B203" s="132"/>
      <c r="C203" s="340" t="s">
        <v>356</v>
      </c>
      <c r="D203" s="86">
        <v>110000</v>
      </c>
      <c r="E203" s="86">
        <v>110000</v>
      </c>
      <c r="F203" s="72">
        <v>0</v>
      </c>
      <c r="G203" s="88">
        <f t="shared" si="21"/>
        <v>0</v>
      </c>
      <c r="H203" s="22"/>
    </row>
    <row r="204" spans="1:8" s="10" customFormat="1" ht="93.75" hidden="1" customHeight="1">
      <c r="A204" s="335"/>
      <c r="B204" s="132"/>
      <c r="C204" s="341" t="s">
        <v>184</v>
      </c>
      <c r="D204" s="86">
        <v>0</v>
      </c>
      <c r="E204" s="86">
        <v>0</v>
      </c>
      <c r="F204" s="72">
        <v>0</v>
      </c>
      <c r="G204" s="88" t="e">
        <f t="shared" si="21"/>
        <v>#DIV/0!</v>
      </c>
      <c r="H204" s="22"/>
    </row>
    <row r="205" spans="1:8" s="10" customFormat="1" ht="93.75">
      <c r="A205" s="335"/>
      <c r="B205" s="132"/>
      <c r="C205" s="341" t="s">
        <v>185</v>
      </c>
      <c r="D205" s="86">
        <v>50000</v>
      </c>
      <c r="E205" s="86">
        <v>50000</v>
      </c>
      <c r="F205" s="72">
        <v>0</v>
      </c>
      <c r="G205" s="88">
        <f t="shared" si="21"/>
        <v>0</v>
      </c>
      <c r="H205" s="22"/>
    </row>
    <row r="206" spans="1:8" s="10" customFormat="1" ht="93.75" hidden="1" customHeight="1">
      <c r="A206" s="335"/>
      <c r="B206" s="132"/>
      <c r="C206" s="341" t="s">
        <v>357</v>
      </c>
      <c r="D206" s="86">
        <v>0</v>
      </c>
      <c r="E206" s="86">
        <v>0</v>
      </c>
      <c r="F206" s="72">
        <v>0</v>
      </c>
      <c r="G206" s="88" t="e">
        <f t="shared" si="21"/>
        <v>#DIV/0!</v>
      </c>
      <c r="H206" s="22"/>
    </row>
    <row r="207" spans="1:8" s="10" customFormat="1" ht="141.75" customHeight="1">
      <c r="A207" s="335"/>
      <c r="B207" s="132"/>
      <c r="C207" s="340" t="s">
        <v>36</v>
      </c>
      <c r="D207" s="86">
        <f>D208</f>
        <v>214364800</v>
      </c>
      <c r="E207" s="86">
        <f>E208</f>
        <v>214364800</v>
      </c>
      <c r="F207" s="86">
        <f>F208</f>
        <v>44298951.829999998</v>
      </c>
      <c r="G207" s="88">
        <f t="shared" si="21"/>
        <v>20.665217344452071</v>
      </c>
      <c r="H207" s="22"/>
    </row>
    <row r="208" spans="1:8" s="10" customFormat="1" ht="20.25">
      <c r="A208" s="335"/>
      <c r="B208" s="132"/>
      <c r="C208" s="242" t="s">
        <v>307</v>
      </c>
      <c r="D208" s="251">
        <v>214364800</v>
      </c>
      <c r="E208" s="251">
        <v>214364800</v>
      </c>
      <c r="F208" s="251">
        <v>44298951.829999998</v>
      </c>
      <c r="G208" s="88">
        <f t="shared" si="21"/>
        <v>20.665217344452071</v>
      </c>
      <c r="H208" s="22"/>
    </row>
    <row r="209" spans="1:8" s="10" customFormat="1" ht="103.5" customHeight="1">
      <c r="A209" s="335"/>
      <c r="B209" s="132"/>
      <c r="C209" s="342" t="s">
        <v>188</v>
      </c>
      <c r="D209" s="87">
        <v>0</v>
      </c>
      <c r="E209" s="55">
        <v>0</v>
      </c>
      <c r="F209" s="55">
        <f>E209-D209</f>
        <v>0</v>
      </c>
      <c r="G209" s="88" t="e">
        <f t="shared" si="21"/>
        <v>#DIV/0!</v>
      </c>
      <c r="H209" s="49"/>
    </row>
    <row r="210" spans="1:8" s="10" customFormat="1" ht="60.75" customHeight="1">
      <c r="A210" s="335"/>
      <c r="B210" s="132"/>
      <c r="C210" s="342" t="s">
        <v>217</v>
      </c>
      <c r="D210" s="87">
        <f>D211</f>
        <v>207211000</v>
      </c>
      <c r="E210" s="87">
        <f>E211</f>
        <v>207211000</v>
      </c>
      <c r="F210" s="87">
        <f>F211</f>
        <v>43328331.590000004</v>
      </c>
      <c r="G210" s="88">
        <f t="shared" si="21"/>
        <v>20.910246845003407</v>
      </c>
      <c r="H210" s="22"/>
    </row>
    <row r="211" spans="1:8" s="10" customFormat="1" ht="20.25">
      <c r="A211" s="335"/>
      <c r="B211" s="133"/>
      <c r="C211" s="242" t="s">
        <v>307</v>
      </c>
      <c r="D211" s="251">
        <v>207211000</v>
      </c>
      <c r="E211" s="251">
        <v>207211000</v>
      </c>
      <c r="F211" s="251">
        <v>43328331.590000004</v>
      </c>
      <c r="G211" s="88">
        <f t="shared" si="21"/>
        <v>20.910246845003407</v>
      </c>
      <c r="H211" s="22"/>
    </row>
    <row r="212" spans="1:8" s="10" customFormat="1" ht="60.75" customHeight="1">
      <c r="A212" s="335"/>
      <c r="B212" s="343" t="s">
        <v>22</v>
      </c>
      <c r="C212" s="344"/>
      <c r="D212" s="87">
        <v>53938300</v>
      </c>
      <c r="E212" s="87">
        <v>53938300</v>
      </c>
      <c r="F212" s="87">
        <v>12618254.82</v>
      </c>
      <c r="G212" s="59">
        <f t="shared" ref="G212:G219" si="24">F212/E212*100</f>
        <v>23.393868216091349</v>
      </c>
      <c r="H212" s="22" t="s">
        <v>407</v>
      </c>
    </row>
    <row r="213" spans="1:8" s="10" customFormat="1" ht="116.25" customHeight="1">
      <c r="A213" s="335"/>
      <c r="B213" s="292" t="s">
        <v>257</v>
      </c>
      <c r="C213" s="292"/>
      <c r="D213" s="87">
        <v>2833500</v>
      </c>
      <c r="E213" s="87">
        <v>2833500</v>
      </c>
      <c r="F213" s="87">
        <v>660910.26</v>
      </c>
      <c r="G213" s="59">
        <f t="shared" si="24"/>
        <v>23.324872419269454</v>
      </c>
      <c r="H213" s="22" t="s">
        <v>407</v>
      </c>
    </row>
    <row r="214" spans="1:8" s="10" customFormat="1" ht="87.75" customHeight="1">
      <c r="A214" s="335"/>
      <c r="B214" s="258" t="s">
        <v>408</v>
      </c>
      <c r="C214" s="259"/>
      <c r="D214" s="43">
        <f>D215+D216</f>
        <v>20915800</v>
      </c>
      <c r="E214" s="43">
        <f t="shared" ref="E214" si="25">E215+E216</f>
        <v>20915800</v>
      </c>
      <c r="F214" s="43">
        <f t="shared" ref="F214" si="26">F215+F216</f>
        <v>0</v>
      </c>
      <c r="G214" s="59">
        <f t="shared" si="24"/>
        <v>0</v>
      </c>
      <c r="H214" s="22"/>
    </row>
    <row r="215" spans="1:8" s="10" customFormat="1" ht="20.25">
      <c r="A215" s="335"/>
      <c r="B215" s="332"/>
      <c r="C215" s="240" t="s">
        <v>306</v>
      </c>
      <c r="D215" s="241">
        <f>D218</f>
        <v>627500</v>
      </c>
      <c r="E215" s="241">
        <f t="shared" ref="E215:F215" si="27">E218</f>
        <v>627500</v>
      </c>
      <c r="F215" s="241">
        <f t="shared" si="27"/>
        <v>0</v>
      </c>
      <c r="G215" s="59">
        <f t="shared" si="24"/>
        <v>0</v>
      </c>
      <c r="H215" s="249"/>
    </row>
    <row r="216" spans="1:8" s="10" customFormat="1" ht="20.25">
      <c r="A216" s="335"/>
      <c r="B216" s="333"/>
      <c r="C216" s="242" t="s">
        <v>307</v>
      </c>
      <c r="D216" s="243">
        <f>D219</f>
        <v>20288300</v>
      </c>
      <c r="E216" s="243">
        <f t="shared" ref="E216:F216" si="28">E219</f>
        <v>20288300</v>
      </c>
      <c r="F216" s="243">
        <f t="shared" si="28"/>
        <v>0</v>
      </c>
      <c r="G216" s="59">
        <f t="shared" si="24"/>
        <v>0</v>
      </c>
      <c r="H216" s="249"/>
    </row>
    <row r="217" spans="1:8" s="10" customFormat="1" ht="56.25">
      <c r="A217" s="335"/>
      <c r="B217" s="332" t="s">
        <v>135</v>
      </c>
      <c r="C217" s="248" t="s">
        <v>409</v>
      </c>
      <c r="D217" s="35">
        <f>D218+D219</f>
        <v>20915800</v>
      </c>
      <c r="E217" s="35">
        <f>E218+E219</f>
        <v>20915800</v>
      </c>
      <c r="F217" s="35">
        <f>F218+F219</f>
        <v>0</v>
      </c>
      <c r="G217" s="59">
        <f t="shared" si="24"/>
        <v>0</v>
      </c>
      <c r="H217" s="249"/>
    </row>
    <row r="218" spans="1:8" s="10" customFormat="1" ht="20.25">
      <c r="A218" s="335"/>
      <c r="B218" s="345"/>
      <c r="C218" s="240" t="s">
        <v>306</v>
      </c>
      <c r="D218" s="241">
        <v>627500</v>
      </c>
      <c r="E218" s="241">
        <v>627500</v>
      </c>
      <c r="F218" s="241">
        <v>0</v>
      </c>
      <c r="G218" s="59">
        <f t="shared" si="24"/>
        <v>0</v>
      </c>
      <c r="H218" s="249"/>
    </row>
    <row r="219" spans="1:8" s="10" customFormat="1" ht="51" customHeight="1">
      <c r="A219" s="336"/>
      <c r="B219" s="333"/>
      <c r="C219" s="242" t="s">
        <v>307</v>
      </c>
      <c r="D219" s="243">
        <v>20288300</v>
      </c>
      <c r="E219" s="243">
        <v>20288300</v>
      </c>
      <c r="F219" s="243">
        <v>0</v>
      </c>
      <c r="G219" s="59">
        <f t="shared" si="24"/>
        <v>0</v>
      </c>
      <c r="H219" s="22"/>
    </row>
    <row r="220" spans="1:8" s="10" customFormat="1" ht="44.25" hidden="1" customHeight="1">
      <c r="A220" s="39">
        <v>7</v>
      </c>
      <c r="B220" s="140"/>
      <c r="C220" s="140"/>
      <c r="D220" s="54"/>
      <c r="E220" s="54"/>
      <c r="F220" s="54"/>
      <c r="G220" s="59"/>
      <c r="H220" s="22"/>
    </row>
    <row r="221" spans="1:8" s="10" customFormat="1" ht="46.5" hidden="1" customHeight="1">
      <c r="A221" s="39">
        <v>8</v>
      </c>
      <c r="B221" s="235"/>
      <c r="C221" s="236"/>
      <c r="D221" s="54"/>
      <c r="E221" s="54"/>
      <c r="F221" s="54"/>
      <c r="G221" s="59"/>
      <c r="H221" s="22"/>
    </row>
    <row r="222" spans="1:8" s="10" customFormat="1" ht="47.25" hidden="1" customHeight="1">
      <c r="A222" s="39">
        <v>9</v>
      </c>
      <c r="B222" s="235"/>
      <c r="C222" s="236"/>
      <c r="D222" s="54"/>
      <c r="E222" s="54"/>
      <c r="F222" s="54"/>
      <c r="G222" s="59"/>
      <c r="H222" s="22"/>
    </row>
    <row r="223" spans="1:8" s="10" customFormat="1" ht="20.25" hidden="1" customHeight="1">
      <c r="A223" s="39">
        <v>8</v>
      </c>
      <c r="B223" s="197"/>
      <c r="C223" s="198"/>
      <c r="D223" s="54"/>
      <c r="E223" s="54"/>
      <c r="F223" s="54"/>
      <c r="G223" s="59"/>
      <c r="H223" s="22"/>
    </row>
    <row r="224" spans="1:8" s="10" customFormat="1" ht="39" customHeight="1">
      <c r="A224" s="31"/>
      <c r="B224" s="147" t="s">
        <v>58</v>
      </c>
      <c r="C224" s="148"/>
      <c r="D224" s="59">
        <f>D4+D8+D14+D18+D24+D28+D220+D221+D222</f>
        <v>5506056400</v>
      </c>
      <c r="E224" s="59">
        <f t="shared" ref="E224:F224" si="29">E4+E8+E14+E18+E24+E28+E220+E221+E222</f>
        <v>5520831100</v>
      </c>
      <c r="F224" s="59">
        <f t="shared" si="29"/>
        <v>1321101079.49</v>
      </c>
      <c r="G224" s="59">
        <f>F224/E224*100</f>
        <v>23.929387723707034</v>
      </c>
      <c r="H224" s="313"/>
    </row>
    <row r="225" spans="3:8" s="10" customFormat="1">
      <c r="C225" s="29"/>
      <c r="H225" s="120"/>
    </row>
    <row r="226" spans="3:8" s="10" customFormat="1">
      <c r="H226" s="120"/>
    </row>
    <row r="228" spans="3:8">
      <c r="C228" s="4"/>
    </row>
    <row r="230" spans="3:8">
      <c r="C230" s="4"/>
    </row>
    <row r="827" spans="1:229" s="129" customFormat="1">
      <c r="A827" s="1"/>
      <c r="B827" s="1"/>
      <c r="C827" s="3"/>
      <c r="D827" s="2"/>
      <c r="E827" s="2"/>
      <c r="F827" s="2"/>
      <c r="G827" s="2"/>
      <c r="H827" s="31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  <c r="EE827" s="1"/>
      <c r="EF827" s="1"/>
      <c r="EG827" s="1"/>
      <c r="EH827" s="1"/>
      <c r="EI827" s="1"/>
      <c r="EJ827" s="1"/>
      <c r="EK827" s="1"/>
      <c r="EL827" s="1"/>
      <c r="EM827" s="1"/>
      <c r="EN827" s="1"/>
      <c r="EO827" s="1"/>
      <c r="EP827" s="1"/>
      <c r="EQ827" s="1"/>
      <c r="ER827" s="1"/>
      <c r="ES827" s="1"/>
      <c r="ET827" s="1"/>
      <c r="EU827" s="1"/>
      <c r="EV827" s="1"/>
      <c r="EW827" s="1"/>
      <c r="EX827" s="1"/>
      <c r="EY827" s="1"/>
      <c r="EZ827" s="1"/>
      <c r="FA827" s="1"/>
      <c r="FB827" s="1"/>
      <c r="FC827" s="1"/>
      <c r="FD827" s="1"/>
      <c r="FE827" s="1"/>
      <c r="FF827" s="1"/>
      <c r="FG827" s="1"/>
      <c r="FH827" s="1"/>
      <c r="FI827" s="1"/>
      <c r="FJ827" s="1"/>
      <c r="FK827" s="1"/>
      <c r="FL827" s="1"/>
      <c r="FM827" s="1"/>
      <c r="FN827" s="1"/>
      <c r="FO827" s="1"/>
      <c r="FP827" s="1"/>
      <c r="FQ827" s="1"/>
      <c r="FR827" s="1"/>
      <c r="FS827" s="1"/>
      <c r="FT827" s="1"/>
      <c r="FU827" s="1"/>
      <c r="FV827" s="1"/>
      <c r="FW827" s="1"/>
      <c r="FX827" s="1"/>
      <c r="FY827" s="1"/>
      <c r="FZ827" s="1"/>
      <c r="GA827" s="1"/>
      <c r="GB827" s="1"/>
      <c r="GC827" s="1"/>
      <c r="GD827" s="1"/>
      <c r="GE827" s="1"/>
      <c r="GF827" s="1"/>
      <c r="GG827" s="1"/>
      <c r="GH827" s="1"/>
      <c r="GI827" s="1"/>
      <c r="GJ827" s="1"/>
      <c r="GK827" s="1"/>
      <c r="GL827" s="1"/>
      <c r="GM827" s="1"/>
      <c r="GN827" s="1"/>
      <c r="GO827" s="1"/>
      <c r="GP827" s="1"/>
      <c r="GQ827" s="1"/>
      <c r="GR827" s="1"/>
      <c r="GS827" s="1"/>
      <c r="GT827" s="1"/>
      <c r="GU827" s="1"/>
      <c r="GV827" s="1"/>
      <c r="GW827" s="1"/>
      <c r="GX827" s="1"/>
      <c r="GY827" s="1"/>
      <c r="GZ827" s="1"/>
      <c r="HA827" s="1"/>
      <c r="HB827" s="1"/>
      <c r="HC827" s="1"/>
      <c r="HD827" s="1"/>
      <c r="HE827" s="1"/>
      <c r="HF827" s="1"/>
      <c r="HG827" s="1"/>
      <c r="HH827" s="1"/>
      <c r="HI827" s="1"/>
      <c r="HJ827" s="1"/>
      <c r="HK827" s="1"/>
      <c r="HL827" s="1"/>
      <c r="HM827" s="1"/>
      <c r="HN827" s="1"/>
      <c r="HO827" s="1"/>
      <c r="HP827" s="1"/>
      <c r="HQ827" s="1"/>
      <c r="HR827" s="1"/>
      <c r="HS827" s="1"/>
      <c r="HT827" s="1"/>
      <c r="HU827" s="1"/>
    </row>
  </sheetData>
  <mergeCells count="69">
    <mergeCell ref="B177:B178"/>
    <mergeCell ref="B179:B211"/>
    <mergeCell ref="B214:C214"/>
    <mergeCell ref="A57:A219"/>
    <mergeCell ref="B149:B150"/>
    <mergeCell ref="B217:B219"/>
    <mergeCell ref="A34:A36"/>
    <mergeCell ref="A37:A56"/>
    <mergeCell ref="B39:B41"/>
    <mergeCell ref="H14:H17"/>
    <mergeCell ref="H18:H21"/>
    <mergeCell ref="B57:C57"/>
    <mergeCell ref="B14:C14"/>
    <mergeCell ref="B15:B17"/>
    <mergeCell ref="A14:A17"/>
    <mergeCell ref="B38:C38"/>
    <mergeCell ref="B42:C42"/>
    <mergeCell ref="H170:H175"/>
    <mergeCell ref="B176:C176"/>
    <mergeCell ref="B37:C37"/>
    <mergeCell ref="B43:B56"/>
    <mergeCell ref="B224:C224"/>
    <mergeCell ref="B58:B59"/>
    <mergeCell ref="B60:C60"/>
    <mergeCell ref="B61:C61"/>
    <mergeCell ref="B62:B63"/>
    <mergeCell ref="B64:B109"/>
    <mergeCell ref="B110:C110"/>
    <mergeCell ref="B113:B135"/>
    <mergeCell ref="B148:C148"/>
    <mergeCell ref="B212:C212"/>
    <mergeCell ref="B213:C213"/>
    <mergeCell ref="B220:C220"/>
    <mergeCell ref="B221:C221"/>
    <mergeCell ref="B222:C222"/>
    <mergeCell ref="B223:C223"/>
    <mergeCell ref="B215:B216"/>
    <mergeCell ref="B34:C34"/>
    <mergeCell ref="B151:B175"/>
    <mergeCell ref="B35:B36"/>
    <mergeCell ref="B28:C28"/>
    <mergeCell ref="B29:C29"/>
    <mergeCell ref="B30:C30"/>
    <mergeCell ref="B31:C31"/>
    <mergeCell ref="B32:C32"/>
    <mergeCell ref="B33:C33"/>
    <mergeCell ref="A18:A23"/>
    <mergeCell ref="B18:C18"/>
    <mergeCell ref="B19:B23"/>
    <mergeCell ref="A24:A27"/>
    <mergeCell ref="B24:C24"/>
    <mergeCell ref="H24:H25"/>
    <mergeCell ref="B25:B27"/>
    <mergeCell ref="A4:A7"/>
    <mergeCell ref="B4:C4"/>
    <mergeCell ref="H4:H7"/>
    <mergeCell ref="B5:B7"/>
    <mergeCell ref="A8:A13"/>
    <mergeCell ref="B8:C8"/>
    <mergeCell ref="H8:H13"/>
    <mergeCell ref="B9:B13"/>
    <mergeCell ref="A1:H1"/>
    <mergeCell ref="A2:A3"/>
    <mergeCell ref="B2:C3"/>
    <mergeCell ref="D2:D3"/>
    <mergeCell ref="E2:E3"/>
    <mergeCell ref="F2:F3"/>
    <mergeCell ref="G2:G3"/>
    <mergeCell ref="H2:H3"/>
  </mergeCells>
  <pageMargins left="0.15748031496062992" right="0.15748031496062992" top="0.19685039370078741" bottom="0.19685039370078741" header="0.15748031496062992" footer="0.15748031496062992"/>
  <pageSetup paperSize="9" scale="36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департ.соцзащита 2016</vt:lpstr>
      <vt:lpstr>департ.соцзащита 2017</vt:lpstr>
      <vt:lpstr>департ.соцзащ2017 (I полугодие)</vt:lpstr>
      <vt:lpstr>департ.соцзащ2017 (год)</vt:lpstr>
      <vt:lpstr>министерст.соцзащ 1 кв 2018</vt:lpstr>
      <vt:lpstr>министерст.соцзащ 1полугод 2018</vt:lpstr>
      <vt:lpstr>министерст.соцзащ 1-3 кварталы</vt:lpstr>
      <vt:lpstr>исполнение за I квартал 2019</vt:lpstr>
      <vt:lpstr>минист.соцзащиты 2019</vt:lpstr>
      <vt:lpstr>'департ.соцзащ2017 (I полугодие)'!Заголовки_для_печати</vt:lpstr>
      <vt:lpstr>'департ.соцзащ2017 (год)'!Заголовки_для_печати</vt:lpstr>
      <vt:lpstr>'департ.соцзащита 2016'!Заголовки_для_печати</vt:lpstr>
      <vt:lpstr>'департ.соцзащита 2017'!Заголовки_для_печати</vt:lpstr>
      <vt:lpstr>'минист.соцзащиты 2019'!Заголовки_для_печати</vt:lpstr>
      <vt:lpstr>'министерст.соцзащ 1 кв 2018'!Заголовки_для_печати</vt:lpstr>
      <vt:lpstr>'министерст.соцзащ 1-3 кварталы'!Заголовки_для_печати</vt:lpstr>
      <vt:lpstr>'министерст.соцзащ 1полугод 2018'!Заголовки_для_печати</vt:lpstr>
      <vt:lpstr>'департ.соцзащ2017 (I полугодие)'!Область_печати</vt:lpstr>
      <vt:lpstr>'департ.соцзащ2017 (год)'!Область_печати</vt:lpstr>
      <vt:lpstr>'департ.соцзащита 2016'!Область_печати</vt:lpstr>
      <vt:lpstr>'департ.соцзащита 2017'!Область_печати</vt:lpstr>
      <vt:lpstr>'минист.соцзащиты 2019'!Область_печати</vt:lpstr>
      <vt:lpstr>'министерст.соцзащ 1 кв 2018'!Область_печати</vt:lpstr>
      <vt:lpstr>'министерст.соцзащ 1-3 кварталы'!Область_печати</vt:lpstr>
      <vt:lpstr>'министерст.соцзащ 1полугод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Ежова Ирина Сергеевна</dc:creator>
  <cp:lastModifiedBy>sina</cp:lastModifiedBy>
  <cp:lastPrinted>2019-04-02T14:38:19Z</cp:lastPrinted>
  <dcterms:created xsi:type="dcterms:W3CDTF">2015-08-14T11:09:49Z</dcterms:created>
  <dcterms:modified xsi:type="dcterms:W3CDTF">2019-04-02T14:42:17Z</dcterms:modified>
</cp:coreProperties>
</file>